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9120" tabRatio="903" activeTab="5"/>
  </bookViews>
  <sheets>
    <sheet name="Daten" sheetId="1" r:id="rId1"/>
    <sheet name="Samstag" sheetId="2" r:id="rId2"/>
    <sheet name="wJ11-14" sheetId="3" r:id="rId3"/>
    <sheet name="mJ11-14" sheetId="4" r:id="rId4"/>
    <sheet name="wJ 15-18" sheetId="5" r:id="rId5"/>
    <sheet name="mJ 15-18" sheetId="6" r:id="rId6"/>
    <sheet name="Sonntag" sheetId="7" r:id="rId7"/>
    <sheet name="Meister" sheetId="8" r:id="rId8"/>
  </sheets>
  <definedNames>
    <definedName name="_xlnm.Print_Area" localSheetId="0">'Daten'!$A$1:$M$19</definedName>
    <definedName name="_xlnm.Print_Area" localSheetId="5">'mJ 15-18'!$B$1:$W$60</definedName>
    <definedName name="_xlnm.Print_Area" localSheetId="3">'mJ11-14'!$B$1:$W$60</definedName>
    <definedName name="_xlnm.Print_Area" localSheetId="1">'Samstag'!$B$1:$X$136</definedName>
    <definedName name="_xlnm.Print_Area" localSheetId="6">'Sonntag'!$B$1:$X$80</definedName>
    <definedName name="_xlnm.Print_Area" localSheetId="4">'wJ 15-18'!$B$1:$W$60</definedName>
    <definedName name="_xlnm.Print_Area" localSheetId="2">'wJ11-14'!$B$1:$W$60</definedName>
    <definedName name="_xlnm.Print_Titles" localSheetId="1">'Samstag'!$1:$24</definedName>
    <definedName name="_xlnm.Print_Titles" localSheetId="6">'Sonntag'!$1:$24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1" authorId="0">
      <text>
        <r>
          <rPr>
            <sz val="9"/>
            <rFont val="Tahoma"/>
            <family val="2"/>
          </rPr>
          <t>Bitte Überschrift eingeben</t>
        </r>
      </text>
    </comment>
    <comment ref="B1" authorId="0">
      <text>
        <r>
          <rPr>
            <sz val="9"/>
            <rFont val="Tahoma"/>
            <family val="2"/>
          </rPr>
          <t>Bitte Überschrift eingeben</t>
        </r>
      </text>
    </comment>
    <comment ref="I1" authorId="0">
      <text>
        <r>
          <rPr>
            <sz val="9"/>
            <rFont val="Tahoma"/>
            <family val="2"/>
          </rPr>
          <t>Jahr eingeben</t>
        </r>
      </text>
    </comment>
    <comment ref="N4" authorId="0">
      <text>
        <r>
          <rPr>
            <sz val="9"/>
            <rFont val="Tahoma"/>
            <family val="2"/>
          </rPr>
          <t>Bitte in P4 die Anfangszeit für Samstag eintragen. In N14 die für Samstag Nachmittag.</t>
        </r>
      </text>
    </comment>
    <comment ref="O4" authorId="0">
      <text>
        <r>
          <rPr>
            <sz val="9"/>
            <rFont val="Tahoma"/>
            <family val="2"/>
          </rPr>
          <t>In O5 die Spielzeit incl. Pause eingeben</t>
        </r>
      </text>
    </comment>
    <comment ref="P4" authorId="0">
      <text>
        <r>
          <rPr>
            <sz val="9"/>
            <rFont val="Tahoma"/>
            <family val="2"/>
          </rPr>
          <t>Bitte in P4 die Anfangszeit für Sonntag eintragen. In P9 die für die Endrunde (1-6)</t>
        </r>
      </text>
    </comment>
  </commentList>
</comments>
</file>

<file path=xl/sharedStrings.xml><?xml version="1.0" encoding="utf-8"?>
<sst xmlns="http://schemas.openxmlformats.org/spreadsheetml/2006/main" count="2852" uniqueCount="382">
  <si>
    <t>weibl. Jugend 11-14</t>
  </si>
  <si>
    <t>männl. Jugend 11-14</t>
  </si>
  <si>
    <t>Zeit</t>
  </si>
  <si>
    <t>Gruppe A</t>
  </si>
  <si>
    <t>Gruppe B</t>
  </si>
  <si>
    <t>Gruppe C</t>
  </si>
  <si>
    <t>Gruppe D</t>
  </si>
  <si>
    <t>weibl. Jugend 15-18</t>
  </si>
  <si>
    <t>männl. Jugend 15-18</t>
  </si>
  <si>
    <t>Gruppe E</t>
  </si>
  <si>
    <t>Gruppe F</t>
  </si>
  <si>
    <t>Gruppe G</t>
  </si>
  <si>
    <t>Gruppe H</t>
  </si>
  <si>
    <t>Auslosung für DM</t>
  </si>
  <si>
    <t>Bitte Felder mit roten Punkten beachten, nur die Maus auf Feld stellen, Notiz wird angezeigt</t>
  </si>
  <si>
    <t>w11</t>
  </si>
  <si>
    <t>m11</t>
  </si>
  <si>
    <t>w15</t>
  </si>
  <si>
    <t>m15</t>
  </si>
  <si>
    <t>Vorrunde</t>
  </si>
  <si>
    <t>Bälle/Punkte</t>
  </si>
  <si>
    <t>Platz</t>
  </si>
  <si>
    <t>:</t>
  </si>
  <si>
    <t>-</t>
  </si>
  <si>
    <t>E-Spiele</t>
  </si>
  <si>
    <t>a</t>
  </si>
  <si>
    <t>b</t>
  </si>
  <si>
    <t>Tabelle</t>
  </si>
  <si>
    <t>Vorkreuzspiele</t>
  </si>
  <si>
    <t>c</t>
  </si>
  <si>
    <t>d</t>
  </si>
  <si>
    <t>Kreuzspiele</t>
  </si>
  <si>
    <t>e</t>
  </si>
  <si>
    <t>f</t>
  </si>
  <si>
    <t>Endspiel</t>
  </si>
  <si>
    <t>Dg.</t>
  </si>
  <si>
    <t>Nr.</t>
  </si>
  <si>
    <t>Feld</t>
  </si>
  <si>
    <t>Mannschaft</t>
  </si>
  <si>
    <t>L / A</t>
  </si>
  <si>
    <t>HZ</t>
  </si>
  <si>
    <t>Ergebnis</t>
  </si>
  <si>
    <t>Punkte</t>
  </si>
  <si>
    <t>_ _ _/_ _ _</t>
  </si>
  <si>
    <t>aa</t>
  </si>
  <si>
    <t>SA_E</t>
  </si>
  <si>
    <t>bb</t>
  </si>
  <si>
    <t>g</t>
  </si>
  <si>
    <t>h</t>
  </si>
  <si>
    <t>cc</t>
  </si>
  <si>
    <t>i</t>
  </si>
  <si>
    <t>j</t>
  </si>
  <si>
    <t>k</t>
  </si>
  <si>
    <t>l</t>
  </si>
  <si>
    <t>dd</t>
  </si>
  <si>
    <t>m</t>
  </si>
  <si>
    <t>n</t>
  </si>
  <si>
    <t>o</t>
  </si>
  <si>
    <t>p</t>
  </si>
  <si>
    <t xml:space="preserve">SA1 </t>
  </si>
  <si>
    <t>ee</t>
  </si>
  <si>
    <t>q</t>
  </si>
  <si>
    <t>SA1_E</t>
  </si>
  <si>
    <t>r</t>
  </si>
  <si>
    <t>s</t>
  </si>
  <si>
    <t>t</t>
  </si>
  <si>
    <t>ff</t>
  </si>
  <si>
    <t>u</t>
  </si>
  <si>
    <t>v</t>
  </si>
  <si>
    <t>w</t>
  </si>
  <si>
    <t>x</t>
  </si>
  <si>
    <t>gg</t>
  </si>
  <si>
    <t>y</t>
  </si>
  <si>
    <t>z</t>
  </si>
  <si>
    <t>a1</t>
  </si>
  <si>
    <t>a2</t>
  </si>
  <si>
    <t>hh</t>
  </si>
  <si>
    <t>a3</t>
  </si>
  <si>
    <t>a4</t>
  </si>
  <si>
    <t>a5</t>
  </si>
  <si>
    <t>a6</t>
  </si>
  <si>
    <t>SO</t>
  </si>
  <si>
    <t>SO_1</t>
  </si>
  <si>
    <t>SO_2</t>
  </si>
  <si>
    <t>SO_3</t>
  </si>
  <si>
    <t>SO_4</t>
  </si>
  <si>
    <t>SO_End</t>
  </si>
  <si>
    <t>Platz 3</t>
  </si>
  <si>
    <t>Platz 9</t>
  </si>
  <si>
    <t>Platz 7</t>
  </si>
  <si>
    <t>TSV Burgdorf</t>
  </si>
  <si>
    <t>Pl-Kreuz</t>
  </si>
  <si>
    <t>Vorkreuz</t>
  </si>
  <si>
    <t>Kreuz</t>
  </si>
  <si>
    <t>Platz 5</t>
  </si>
  <si>
    <t>Deutsche Prellball Meisterschaften der Jugend</t>
  </si>
  <si>
    <t>Vegesacker TV</t>
  </si>
  <si>
    <t>TV Baden</t>
  </si>
  <si>
    <t>MTV Wohnste</t>
  </si>
  <si>
    <t>MTV Jahn Schladen</t>
  </si>
  <si>
    <t>TuS Aschen-Strang</t>
  </si>
  <si>
    <t>VfL Hannover</t>
  </si>
  <si>
    <t>MTV Itzehoe</t>
  </si>
  <si>
    <t>TV Sottrum</t>
  </si>
  <si>
    <t>MTV Markoldendorf</t>
  </si>
  <si>
    <t>TSV Kirchdorf</t>
  </si>
  <si>
    <t>Deutsche Meister Jugend</t>
  </si>
  <si>
    <t>w 11-14</t>
  </si>
  <si>
    <t>w 15-18</t>
  </si>
  <si>
    <t>m 11-14</t>
  </si>
  <si>
    <t>m 15-18</t>
  </si>
  <si>
    <t xml:space="preserve">Osnabrücker TB </t>
  </si>
  <si>
    <t>Gadderbaumer TV</t>
  </si>
  <si>
    <t>TB Essen-Altendorf</t>
  </si>
  <si>
    <t>ACT Kassel</t>
  </si>
  <si>
    <t>TV Jahn Kiel</t>
  </si>
  <si>
    <t>TSG Heppenheim</t>
  </si>
  <si>
    <t>TV Richterich</t>
  </si>
  <si>
    <t>TV Grohn</t>
  </si>
  <si>
    <t>TV Berkenbaum</t>
  </si>
  <si>
    <t>TV Kleefeld</t>
  </si>
  <si>
    <t>TV Hinterweidenthal</t>
  </si>
  <si>
    <t>TV Zeilhard</t>
  </si>
  <si>
    <t>TSV Krumbach</t>
  </si>
  <si>
    <t>TV Horbach</t>
  </si>
  <si>
    <t>TV Niederauerbach</t>
  </si>
  <si>
    <t>TV Mahndorf</t>
  </si>
  <si>
    <t>TuS St. Arnual</t>
  </si>
  <si>
    <t>SV SW Ludwigshafen</t>
  </si>
  <si>
    <t>TV Malstatt</t>
  </si>
  <si>
    <t>TV Ichenhausen</t>
  </si>
  <si>
    <t>SV Friedrichsort</t>
  </si>
  <si>
    <t>TB Hückeswagen</t>
  </si>
  <si>
    <t>VfL Bochum</t>
  </si>
  <si>
    <t>TV Bad Cannstatt</t>
  </si>
  <si>
    <t>TV Oberneuland</t>
  </si>
  <si>
    <t>TV FA Altenbochum</t>
  </si>
  <si>
    <t>Bielefelder TG</t>
  </si>
  <si>
    <t>TSV Babenhausen</t>
  </si>
  <si>
    <t>TV Leer</t>
  </si>
  <si>
    <t>TV Höheischweiler</t>
  </si>
  <si>
    <t>TV Elm</t>
  </si>
  <si>
    <t>MTV Eiche Schönebeck</t>
  </si>
  <si>
    <t>Bremer TVG</t>
  </si>
  <si>
    <t>SG 05 Ronnenberg</t>
  </si>
  <si>
    <t>TV Walpershofen</t>
  </si>
  <si>
    <t>SKG Ober-Ramstadt</t>
  </si>
  <si>
    <t>Lübecker TS</t>
  </si>
  <si>
    <t>Berliner Turnerschaft</t>
  </si>
  <si>
    <t>SV Diepoldshofen</t>
  </si>
  <si>
    <t>Linden-Dahlhauser TV</t>
  </si>
  <si>
    <t>VT Contwig</t>
  </si>
  <si>
    <t>TuS Meinerzhagen</t>
  </si>
  <si>
    <t>TV Huchenfeld</t>
  </si>
  <si>
    <t>TV Zell Weierbach</t>
  </si>
  <si>
    <t>TV Jahn Bad Lippspringe</t>
  </si>
  <si>
    <t>TV Eberbach</t>
  </si>
  <si>
    <t>Platzierungs-Kreuzspiele</t>
  </si>
  <si>
    <t>Platzierungsspiele 7-10</t>
  </si>
  <si>
    <t>Platzierungsspiele 3-6</t>
  </si>
  <si>
    <t>Wittenauer SG</t>
  </si>
  <si>
    <t>TSV Bayer 04 Leverkusen</t>
  </si>
  <si>
    <t>1. Nord</t>
  </si>
  <si>
    <t>2. Nord</t>
  </si>
  <si>
    <t>3. Nord</t>
  </si>
  <si>
    <t>4. Nord</t>
  </si>
  <si>
    <t>1. Süd</t>
  </si>
  <si>
    <t>2. Süd</t>
  </si>
  <si>
    <t>3. Süd</t>
  </si>
  <si>
    <t>1. West</t>
  </si>
  <si>
    <t>2. West</t>
  </si>
  <si>
    <t>3. West</t>
  </si>
  <si>
    <t>E-Spiel</t>
  </si>
  <si>
    <t>1. N</t>
  </si>
  <si>
    <t>2. N</t>
  </si>
  <si>
    <t>3. N</t>
  </si>
  <si>
    <t>4. N</t>
  </si>
  <si>
    <t>1. S</t>
  </si>
  <si>
    <t>2. S</t>
  </si>
  <si>
    <t>3. S</t>
  </si>
  <si>
    <t>1. W</t>
  </si>
  <si>
    <t>2. W</t>
  </si>
  <si>
    <t>3. W</t>
  </si>
  <si>
    <t>ATV Bad Honnef Selhof</t>
  </si>
  <si>
    <t>TSV Marienfelde</t>
  </si>
  <si>
    <t>NI</t>
  </si>
  <si>
    <t>BR</t>
  </si>
  <si>
    <t>TV Freiburg St. Georgen</t>
  </si>
  <si>
    <t>VfL Waiblingen</t>
  </si>
  <si>
    <t>SW</t>
  </si>
  <si>
    <t>BY</t>
  </si>
  <si>
    <t>PF</t>
  </si>
  <si>
    <t>TuS Concordia Hülsede</t>
  </si>
  <si>
    <t>WE</t>
  </si>
  <si>
    <t>HE</t>
  </si>
  <si>
    <t>PV Gundernhausen</t>
  </si>
  <si>
    <t>RL</t>
  </si>
  <si>
    <t xml:space="preserve"> </t>
  </si>
  <si>
    <t>PK1</t>
  </si>
  <si>
    <t>PK2</t>
  </si>
  <si>
    <t>P7</t>
  </si>
  <si>
    <t>P9</t>
  </si>
  <si>
    <t>VK1</t>
  </si>
  <si>
    <t>VK2</t>
  </si>
  <si>
    <t>K1</t>
  </si>
  <si>
    <t>K2</t>
  </si>
  <si>
    <t>P3</t>
  </si>
  <si>
    <t>P1</t>
  </si>
  <si>
    <t>w11VK1</t>
  </si>
  <si>
    <t>w11PK1</t>
  </si>
  <si>
    <t>w11PK2</t>
  </si>
  <si>
    <t>w11P9</t>
  </si>
  <si>
    <t>w11P7</t>
  </si>
  <si>
    <t>w11VK2</t>
  </si>
  <si>
    <t>w11P1</t>
  </si>
  <si>
    <t>w11K2</t>
  </si>
  <si>
    <t>P5</t>
  </si>
  <si>
    <t>m11PK1</t>
  </si>
  <si>
    <t>m11PK2</t>
  </si>
  <si>
    <t>m11P9</t>
  </si>
  <si>
    <t>m11P7</t>
  </si>
  <si>
    <t>m11VK1</t>
  </si>
  <si>
    <t>m11VK2</t>
  </si>
  <si>
    <t>m11K2</t>
  </si>
  <si>
    <t>w11K1</t>
  </si>
  <si>
    <t>w11P5</t>
  </si>
  <si>
    <t>m11K1</t>
  </si>
  <si>
    <t>m11P5</t>
  </si>
  <si>
    <t>m11P3</t>
  </si>
  <si>
    <t>m11P1</t>
  </si>
  <si>
    <t>w11P3</t>
  </si>
  <si>
    <t>w15PK1</t>
  </si>
  <si>
    <t>w15PK2</t>
  </si>
  <si>
    <t>w15P9</t>
  </si>
  <si>
    <t>w15P7</t>
  </si>
  <si>
    <t>w15VK1</t>
  </si>
  <si>
    <t>w15VK2</t>
  </si>
  <si>
    <t>w15K2</t>
  </si>
  <si>
    <t>w15K1</t>
  </si>
  <si>
    <t>w15P5</t>
  </si>
  <si>
    <t>w15P3</t>
  </si>
  <si>
    <t>w15P1</t>
  </si>
  <si>
    <t>m15PK1</t>
  </si>
  <si>
    <t>m15PK2</t>
  </si>
  <si>
    <t>m15P9</t>
  </si>
  <si>
    <t>m15P7</t>
  </si>
  <si>
    <t>m15VK1</t>
  </si>
  <si>
    <t>m15VK2</t>
  </si>
  <si>
    <t>m15K2</t>
  </si>
  <si>
    <t>m15K1</t>
  </si>
  <si>
    <t>m15P5</t>
  </si>
  <si>
    <t>m15P3</t>
  </si>
  <si>
    <t>m15P1</t>
  </si>
  <si>
    <t>w. 11-14</t>
  </si>
  <si>
    <t>m. 11-14</t>
  </si>
  <si>
    <t>m. 15-18</t>
  </si>
  <si>
    <t>w. 15-18</t>
  </si>
  <si>
    <t>SC</t>
  </si>
  <si>
    <t>TV Kierdorf</t>
  </si>
  <si>
    <t>Kölner TB</t>
  </si>
  <si>
    <t>TV Winterhagen</t>
  </si>
  <si>
    <t>TV Rieschweiler</t>
  </si>
  <si>
    <t>SG Aumund-Vegesack</t>
  </si>
  <si>
    <t>TSV Wuchzenhofen</t>
  </si>
  <si>
    <t>TV Reutin</t>
  </si>
  <si>
    <t>SV Weiler</t>
  </si>
  <si>
    <t>TuS Westfalia Dortmund-Sölde</t>
  </si>
  <si>
    <t>TV "Frisch Auf" Altenbochum</t>
  </si>
  <si>
    <t>SV Werder Bremen</t>
  </si>
  <si>
    <t>DM Jugend 2014</t>
  </si>
  <si>
    <t>SA 1</t>
  </si>
  <si>
    <t>SA 2</t>
  </si>
  <si>
    <t>SA 3</t>
  </si>
  <si>
    <t>SA 4</t>
  </si>
  <si>
    <t>SA 5</t>
  </si>
  <si>
    <t>SA 6</t>
  </si>
  <si>
    <t>SA 7</t>
  </si>
  <si>
    <t>SA 8</t>
  </si>
  <si>
    <t>SA 9</t>
  </si>
  <si>
    <t>SA 10</t>
  </si>
  <si>
    <t>SA 11</t>
  </si>
  <si>
    <t>SA 12</t>
  </si>
  <si>
    <t>SA 13</t>
  </si>
  <si>
    <t>SA 14</t>
  </si>
  <si>
    <t>SA 15</t>
  </si>
  <si>
    <t>SA 16</t>
  </si>
  <si>
    <t>SA 17</t>
  </si>
  <si>
    <t>SA 18</t>
  </si>
  <si>
    <t>SA 19</t>
  </si>
  <si>
    <t>SA 20</t>
  </si>
  <si>
    <t>52.</t>
  </si>
  <si>
    <t>Bremen</t>
  </si>
  <si>
    <t>18.04.2015</t>
  </si>
  <si>
    <t>19.04.2015</t>
  </si>
  <si>
    <t>TSV Ohorn</t>
  </si>
  <si>
    <t>TV Kierdorf 1962</t>
  </si>
  <si>
    <t>Sporthalle Hermine-Berthold-Str. 19/20, 28205 Bremen</t>
  </si>
  <si>
    <t>17:25</t>
  </si>
  <si>
    <t>19:17</t>
  </si>
  <si>
    <t>18:17</t>
  </si>
  <si>
    <t>17:13</t>
  </si>
  <si>
    <t>9:26</t>
  </si>
  <si>
    <t>19:22</t>
  </si>
  <si>
    <t>8:11</t>
  </si>
  <si>
    <t>15:19</t>
  </si>
  <si>
    <t>18:19</t>
  </si>
  <si>
    <t>16:17</t>
  </si>
  <si>
    <t>16:22</t>
  </si>
  <si>
    <t>19:12</t>
  </si>
  <si>
    <t>23:12</t>
  </si>
  <si>
    <t>18:14</t>
  </si>
  <si>
    <t>17:10</t>
  </si>
  <si>
    <t>17:19</t>
  </si>
  <si>
    <t>21:14</t>
  </si>
  <si>
    <t>23:14</t>
  </si>
  <si>
    <t>19:15</t>
  </si>
  <si>
    <t>22:8</t>
  </si>
  <si>
    <t>20:19</t>
  </si>
  <si>
    <t>16:21</t>
  </si>
  <si>
    <t>17:14</t>
  </si>
  <si>
    <t>16:18</t>
  </si>
  <si>
    <t>21:15</t>
  </si>
  <si>
    <t>10:18</t>
  </si>
  <si>
    <t>17:15</t>
  </si>
  <si>
    <t>19:14</t>
  </si>
  <si>
    <t>10:21</t>
  </si>
  <si>
    <t>24:11</t>
  </si>
  <si>
    <t>13:19</t>
  </si>
  <si>
    <t>14:23</t>
  </si>
  <si>
    <t>12:20</t>
  </si>
  <si>
    <t>11:19</t>
  </si>
  <si>
    <t>15:15</t>
  </si>
  <si>
    <t>21:13</t>
  </si>
  <si>
    <t>14:21</t>
  </si>
  <si>
    <t>17:18</t>
  </si>
  <si>
    <t>17:9</t>
  </si>
  <si>
    <t>13:23</t>
  </si>
  <si>
    <t>14:16</t>
  </si>
  <si>
    <t>20:22</t>
  </si>
  <si>
    <t>21:17</t>
  </si>
  <si>
    <t>18:11</t>
  </si>
  <si>
    <t>16:25</t>
  </si>
  <si>
    <t>22:10</t>
  </si>
  <si>
    <t>26:10</t>
  </si>
  <si>
    <t>12:13</t>
  </si>
  <si>
    <t>20:13</t>
  </si>
  <si>
    <t>19:18</t>
  </si>
  <si>
    <t>25:11</t>
  </si>
  <si>
    <t>20:12</t>
  </si>
  <si>
    <t>16:11</t>
  </si>
  <si>
    <t>19:20</t>
  </si>
  <si>
    <t>12:21</t>
  </si>
  <si>
    <t>13:17</t>
  </si>
  <si>
    <t>18:18</t>
  </si>
  <si>
    <t>21:12</t>
  </si>
  <si>
    <t>18:15</t>
  </si>
  <si>
    <t>15:18</t>
  </si>
  <si>
    <t>31:9</t>
  </si>
  <si>
    <t>22:11</t>
  </si>
  <si>
    <t>19:11</t>
  </si>
  <si>
    <t>12:16</t>
  </si>
  <si>
    <t>F</t>
  </si>
  <si>
    <t>20:11</t>
  </si>
  <si>
    <t>22:7</t>
  </si>
  <si>
    <t>16:16</t>
  </si>
  <si>
    <t>22:17</t>
  </si>
  <si>
    <t>14:18</t>
  </si>
  <si>
    <t>15:16</t>
  </si>
  <si>
    <t>17:16</t>
  </si>
  <si>
    <t>18:16</t>
  </si>
  <si>
    <t>23:10</t>
  </si>
  <si>
    <t>20:15</t>
  </si>
  <si>
    <t>14:15</t>
  </si>
  <si>
    <t>24:15</t>
  </si>
  <si>
    <t>19:13</t>
  </si>
  <si>
    <t>17:17</t>
  </si>
  <si>
    <t>26:13</t>
  </si>
  <si>
    <t>16:13</t>
  </si>
  <si>
    <t>15:20</t>
  </si>
  <si>
    <t>17:21</t>
  </si>
  <si>
    <t>19:16</t>
  </si>
  <si>
    <t>13:20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</si>
</sst>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\ mmm\ yy"/>
    <numFmt numFmtId="178" formatCode="d/\ mmm"/>
    <numFmt numFmtId="179" formatCode="d/m/yy\ h:mm"/>
    <numFmt numFmtId="180" formatCode="&quot;DM&quot;#,##0;\-&quot;DM&quot;#,##0"/>
    <numFmt numFmtId="181" formatCode="&quot;DM&quot;#,##0;[Red]\-&quot;DM&quot;#,##0"/>
    <numFmt numFmtId="182" formatCode="&quot;DM&quot;#,##0.00;\-&quot;DM&quot;#,##0.00"/>
    <numFmt numFmtId="183" formatCode="&quot;DM&quot;#,##0.00;[Red]\-&quot;DM&quot;#,##0.00"/>
    <numFmt numFmtId="184" formatCode="h:mm"/>
    <numFmt numFmtId="185" formatCode="h:mm:ss"/>
    <numFmt numFmtId="186" formatCode="0;0"/>
    <numFmt numFmtId="187" formatCode="0;0;"/>
    <numFmt numFmtId="188" formatCode="00"/>
    <numFmt numFmtId="189" formatCode="0.00000"/>
    <numFmt numFmtId="190" formatCode="&quot;DM&quot;#,##0_);\(&quot;DM&quot;#,##0\)"/>
    <numFmt numFmtId="191" formatCode="&quot;DM&quot;#,##0_);[Red]\(&quot;DM&quot;#,##0\)"/>
    <numFmt numFmtId="192" formatCode="&quot;DM&quot;#,##0.00_);\(&quot;DM&quot;#,##0.00\)"/>
    <numFmt numFmtId="193" formatCode="&quot;DM&quot;#,##0.00_);[Red]\(&quot;DM&quot;#,##0.00\)"/>
    <numFmt numFmtId="194" formatCode="_(&quot;DM&quot;* #,##0_);_(&quot;DM&quot;* \(#,##0\);_(&quot;DM&quot;* &quot;-&quot;_);_(@_)"/>
    <numFmt numFmtId="195" formatCode="_(* #,##0_);_(* \(#,##0\);_(* &quot;-&quot;_);_(@_)"/>
    <numFmt numFmtId="196" formatCode="_(&quot;DM&quot;* #,##0.00_);_(&quot;DM&quot;* \(#,##0.00\);_(&quot;DM&quot;* &quot;-&quot;??_);_(@_)"/>
    <numFmt numFmtId="197" formatCode="_(* #,##0.00_);_(* \(#,##0.00\);_(* &quot;-&quot;??_);_(@_)"/>
    <numFmt numFmtId="198" formatCode="h:m"/>
    <numFmt numFmtId="199" formatCode="0.00000000"/>
    <numFmt numFmtId="200" formatCode="0.000000000"/>
    <numFmt numFmtId="201" formatCode="0.0000"/>
    <numFmt numFmtId="202" formatCode="000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-407]dddd\,\ d\.\ mmmm\ yyyy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System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13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4"/>
      <name val="Arial Black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5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5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20" fontId="0" fillId="33" borderId="0" xfId="0" applyNumberFormat="1" applyFont="1" applyFill="1" applyAlignment="1">
      <alignment/>
    </xf>
    <xf numFmtId="20" fontId="0" fillId="34" borderId="0" xfId="0" applyNumberFormat="1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6" fillId="33" borderId="0" xfId="53" applyFont="1" applyFill="1">
      <alignment/>
      <protection/>
    </xf>
    <xf numFmtId="0" fontId="6" fillId="33" borderId="0" xfId="53" applyFont="1" applyFill="1" applyAlignment="1">
      <alignment/>
      <protection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2" fillId="33" borderId="0" xfId="0" applyFont="1" applyFill="1" applyAlignment="1" applyProtection="1">
      <alignment horizontal="right"/>
      <protection locked="0"/>
    </xf>
    <xf numFmtId="0" fontId="6" fillId="35" borderId="0" xfId="0" applyFont="1" applyFill="1" applyAlignment="1" applyProtection="1">
      <alignment horizontal="right"/>
      <protection locked="0"/>
    </xf>
    <xf numFmtId="0" fontId="6" fillId="35" borderId="0" xfId="0" applyFont="1" applyFill="1" applyAlignment="1">
      <alignment/>
    </xf>
    <xf numFmtId="0" fontId="12" fillId="35" borderId="0" xfId="0" applyFont="1" applyFill="1" applyAlignment="1" applyProtection="1">
      <alignment horizontal="right"/>
      <protection locked="0"/>
    </xf>
    <xf numFmtId="0" fontId="6" fillId="35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Fill="1" applyAlignment="1" applyProtection="1" quotePrefix="1">
      <alignment/>
      <protection locked="0"/>
    </xf>
    <xf numFmtId="14" fontId="0" fillId="0" borderId="0" xfId="0" applyNumberFormat="1" applyFont="1" applyFill="1" applyAlignment="1" applyProtection="1" quotePrefix="1">
      <alignment/>
      <protection locked="0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6" fillId="0" borderId="10" xfId="54" applyFont="1" applyBorder="1" applyAlignment="1">
      <alignment horizontal="center"/>
      <protection/>
    </xf>
    <xf numFmtId="20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0" xfId="54" applyFont="1" applyBorder="1">
      <alignment/>
      <protection/>
    </xf>
    <xf numFmtId="0" fontId="6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6" fillId="0" borderId="11" xfId="54" applyFont="1" applyBorder="1">
      <alignment/>
      <protection/>
    </xf>
    <xf numFmtId="0" fontId="6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15" fillId="0" borderId="0" xfId="0" applyFont="1" applyAlignment="1">
      <alignment horizontal="centerContinuous" vertical="top"/>
    </xf>
    <xf numFmtId="0" fontId="60" fillId="0" borderId="0" xfId="0" applyFont="1" applyAlignment="1">
      <alignment/>
    </xf>
    <xf numFmtId="0" fontId="60" fillId="0" borderId="11" xfId="0" applyFont="1" applyBorder="1" applyAlignment="1">
      <alignment/>
    </xf>
    <xf numFmtId="14" fontId="1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3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1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0" xfId="54" applyFont="1">
      <alignment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188" fontId="0" fillId="0" borderId="18" xfId="0" applyNumberFormat="1" applyFont="1" applyBorder="1" applyAlignment="1">
      <alignment horizontal="center"/>
    </xf>
    <xf numFmtId="188" fontId="0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0" fillId="0" borderId="24" xfId="0" applyFont="1" applyBorder="1" applyAlignment="1">
      <alignment/>
    </xf>
    <xf numFmtId="189" fontId="14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vertical="top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27" xfId="0" applyFont="1" applyBorder="1" applyAlignment="1">
      <alignment horizontal="right" vertical="top"/>
    </xf>
    <xf numFmtId="0" fontId="7" fillId="36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62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26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14" fillId="0" borderId="15" xfId="0" applyFont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18" fillId="0" borderId="15" xfId="0" applyFont="1" applyFill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8" fillId="0" borderId="24" xfId="0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top" wrapText="1"/>
    </xf>
    <xf numFmtId="0" fontId="0" fillId="0" borderId="0" xfId="0" applyNumberFormat="1" applyFont="1" applyAlignment="1">
      <alignment/>
    </xf>
    <xf numFmtId="0" fontId="14" fillId="0" borderId="15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29" xfId="0" applyFont="1" applyBorder="1" applyAlignment="1">
      <alignment horizontal="right" vertical="top"/>
    </xf>
    <xf numFmtId="0" fontId="22" fillId="0" borderId="15" xfId="0" applyFont="1" applyFill="1" applyBorder="1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Border="1" applyAlignment="1">
      <alignment/>
    </xf>
    <xf numFmtId="20" fontId="6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6" fillId="0" borderId="14" xfId="54" applyFont="1" applyBorder="1">
      <alignment/>
      <protection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49" fontId="14" fillId="0" borderId="0" xfId="0" applyNumberFormat="1" applyFont="1" applyAlignment="1">
      <alignment/>
    </xf>
    <xf numFmtId="49" fontId="14" fillId="0" borderId="11" xfId="0" applyNumberFormat="1" applyFont="1" applyBorder="1" applyAlignment="1">
      <alignment/>
    </xf>
    <xf numFmtId="49" fontId="14" fillId="0" borderId="14" xfId="0" applyNumberFormat="1" applyFont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MANNSCHA" xfId="53"/>
    <cellStyle name="Standard_SEN-SA94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9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4.00390625" style="3" customWidth="1"/>
    <col min="2" max="2" width="4.28125" style="3" customWidth="1"/>
    <col min="3" max="3" width="20.7109375" style="3" customWidth="1"/>
    <col min="4" max="4" width="2.7109375" style="3" customWidth="1"/>
    <col min="5" max="5" width="4.28125" style="3" customWidth="1"/>
    <col min="6" max="6" width="20.7109375" style="3" customWidth="1"/>
    <col min="7" max="7" width="2.7109375" style="3" customWidth="1"/>
    <col min="8" max="8" width="4.28125" style="3" customWidth="1"/>
    <col min="9" max="9" width="20.7109375" style="3" customWidth="1"/>
    <col min="10" max="10" width="2.7109375" style="3" customWidth="1"/>
    <col min="11" max="11" width="4.28125" style="3" customWidth="1"/>
    <col min="12" max="12" width="20.7109375" style="3" customWidth="1"/>
    <col min="13" max="13" width="4.140625" style="3" customWidth="1"/>
    <col min="14" max="16" width="8.7109375" style="3" customWidth="1"/>
    <col min="17" max="19" width="11.421875" style="3" customWidth="1"/>
    <col min="20" max="20" width="3.421875" style="3" customWidth="1"/>
    <col min="21" max="21" width="2.00390625" style="3" customWidth="1"/>
    <col min="22" max="23" width="3.421875" style="3" customWidth="1"/>
    <col min="24" max="24" width="5.57421875" style="3" customWidth="1"/>
    <col min="25" max="25" width="3.421875" style="3" customWidth="1"/>
    <col min="26" max="26" width="2.00390625" style="3" customWidth="1"/>
    <col min="27" max="28" width="3.421875" style="3" customWidth="1"/>
    <col min="29" max="16384" width="11.421875" style="3" customWidth="1"/>
  </cols>
  <sheetData>
    <row r="1" spans="1:16" ht="15.75">
      <c r="A1" s="34" t="s">
        <v>290</v>
      </c>
      <c r="B1" s="5" t="s">
        <v>95</v>
      </c>
      <c r="C1" s="35"/>
      <c r="D1" s="35"/>
      <c r="E1" s="35"/>
      <c r="F1" s="35"/>
      <c r="G1" s="35"/>
      <c r="H1" s="35"/>
      <c r="I1" s="36">
        <v>2015</v>
      </c>
      <c r="J1" s="4"/>
      <c r="K1" s="4"/>
      <c r="L1" s="4"/>
      <c r="M1" s="4"/>
      <c r="N1" s="4"/>
      <c r="O1" s="4"/>
      <c r="P1" s="4"/>
    </row>
    <row r="2" spans="1:16" ht="15.75">
      <c r="A2" s="5"/>
      <c r="B2" s="5"/>
      <c r="C2" s="4"/>
      <c r="D2" s="4"/>
      <c r="E2" s="4"/>
      <c r="F2" s="4"/>
      <c r="G2" s="4"/>
      <c r="H2" s="4"/>
      <c r="I2" s="6"/>
      <c r="J2" s="4"/>
      <c r="K2" s="4"/>
      <c r="L2" s="4"/>
      <c r="M2" s="4"/>
      <c r="N2" s="4"/>
      <c r="O2" s="4"/>
      <c r="P2" s="4"/>
    </row>
    <row r="3" spans="1:36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U3" s="8"/>
      <c r="Z3" s="8"/>
      <c r="AD3" s="9"/>
      <c r="AE3" s="10"/>
      <c r="AF3" s="9"/>
      <c r="AG3" s="9"/>
      <c r="AH3" s="9"/>
      <c r="AI3" s="9"/>
      <c r="AJ3" s="9"/>
    </row>
    <row r="4" spans="1:36" ht="12.75">
      <c r="A4" s="7"/>
      <c r="B4" s="7"/>
      <c r="C4" s="7" t="s">
        <v>0</v>
      </c>
      <c r="D4" s="7"/>
      <c r="E4" s="7"/>
      <c r="F4" s="7" t="s">
        <v>0</v>
      </c>
      <c r="G4" s="7"/>
      <c r="H4" s="7"/>
      <c r="I4" s="7" t="s">
        <v>1</v>
      </c>
      <c r="J4" s="7"/>
      <c r="K4" s="7"/>
      <c r="L4" s="7" t="s">
        <v>1</v>
      </c>
      <c r="M4" s="4"/>
      <c r="N4" s="4" t="s">
        <v>2</v>
      </c>
      <c r="O4" s="4"/>
      <c r="P4" s="4"/>
      <c r="AD4" s="9"/>
      <c r="AE4" s="9"/>
      <c r="AF4" s="9"/>
      <c r="AG4" s="9"/>
      <c r="AH4" s="9"/>
      <c r="AI4" s="9"/>
      <c r="AJ4" s="9"/>
    </row>
    <row r="5" spans="1:36" ht="12.75">
      <c r="A5" s="7"/>
      <c r="B5" s="7"/>
      <c r="C5" s="7" t="s">
        <v>3</v>
      </c>
      <c r="D5" s="7"/>
      <c r="E5" s="7"/>
      <c r="F5" s="7" t="s">
        <v>4</v>
      </c>
      <c r="G5" s="7"/>
      <c r="H5" s="7"/>
      <c r="I5" s="7" t="s">
        <v>5</v>
      </c>
      <c r="J5" s="7"/>
      <c r="K5" s="7"/>
      <c r="L5" s="7" t="s">
        <v>6</v>
      </c>
      <c r="M5" s="4"/>
      <c r="N5" s="11">
        <v>0.375</v>
      </c>
      <c r="O5" s="4"/>
      <c r="P5" s="12">
        <v>0.375</v>
      </c>
      <c r="AD5" s="9"/>
      <c r="AE5" s="9"/>
      <c r="AF5" s="9"/>
      <c r="AG5" s="9"/>
      <c r="AH5" s="9"/>
      <c r="AI5" s="9"/>
      <c r="AJ5" s="9"/>
    </row>
    <row r="6" spans="1:36" ht="12.75">
      <c r="A6" s="13">
        <v>1</v>
      </c>
      <c r="B6" s="9" t="s">
        <v>186</v>
      </c>
      <c r="C6" s="9" t="s">
        <v>142</v>
      </c>
      <c r="D6" s="14"/>
      <c r="E6" s="9" t="s">
        <v>186</v>
      </c>
      <c r="F6" s="9" t="s">
        <v>126</v>
      </c>
      <c r="G6" s="7"/>
      <c r="H6" s="9" t="s">
        <v>257</v>
      </c>
      <c r="I6" s="9" t="s">
        <v>294</v>
      </c>
      <c r="J6" s="14"/>
      <c r="K6" s="9" t="s">
        <v>185</v>
      </c>
      <c r="L6" s="9" t="s">
        <v>184</v>
      </c>
      <c r="M6" s="4"/>
      <c r="N6" s="15">
        <v>0.3923611111111111</v>
      </c>
      <c r="O6" s="11">
        <v>0.017361111111111112</v>
      </c>
      <c r="P6" s="15">
        <v>0.3923611111111111</v>
      </c>
      <c r="AD6" s="9"/>
      <c r="AE6" s="9"/>
      <c r="AF6" s="9"/>
      <c r="AG6" s="9"/>
      <c r="AH6" s="9"/>
      <c r="AI6" s="9"/>
      <c r="AJ6" s="9"/>
    </row>
    <row r="7" spans="1:36" ht="12.75">
      <c r="A7" s="13">
        <v>2</v>
      </c>
      <c r="B7" s="9" t="s">
        <v>185</v>
      </c>
      <c r="C7" s="9" t="s">
        <v>103</v>
      </c>
      <c r="D7" s="14"/>
      <c r="E7" s="9" t="s">
        <v>185</v>
      </c>
      <c r="F7" s="9" t="s">
        <v>98</v>
      </c>
      <c r="G7" s="7"/>
      <c r="H7" s="9" t="s">
        <v>186</v>
      </c>
      <c r="I7" s="9" t="s">
        <v>142</v>
      </c>
      <c r="J7" s="7"/>
      <c r="K7" s="9" t="s">
        <v>186</v>
      </c>
      <c r="L7" s="9" t="s">
        <v>268</v>
      </c>
      <c r="M7" s="4"/>
      <c r="N7" s="15">
        <v>0.4097222222222222</v>
      </c>
      <c r="O7" s="15">
        <v>0.017361111111111112</v>
      </c>
      <c r="P7" s="15">
        <v>0.4097222222222222</v>
      </c>
      <c r="AD7" s="9"/>
      <c r="AE7" s="9"/>
      <c r="AF7" s="9"/>
      <c r="AG7" s="9"/>
      <c r="AH7" s="9"/>
      <c r="AI7" s="9"/>
      <c r="AJ7" s="9"/>
    </row>
    <row r="8" spans="1:36" ht="12.75">
      <c r="A8" s="13">
        <v>3</v>
      </c>
      <c r="B8" s="9" t="s">
        <v>193</v>
      </c>
      <c r="C8" s="9" t="s">
        <v>152</v>
      </c>
      <c r="D8" s="14"/>
      <c r="E8" s="9" t="s">
        <v>189</v>
      </c>
      <c r="F8" s="9" t="s">
        <v>265</v>
      </c>
      <c r="G8" s="7"/>
      <c r="H8" s="9" t="s">
        <v>196</v>
      </c>
      <c r="I8" s="9" t="s">
        <v>259</v>
      </c>
      <c r="J8" s="7"/>
      <c r="K8" s="9" t="s">
        <v>189</v>
      </c>
      <c r="L8" s="9" t="s">
        <v>264</v>
      </c>
      <c r="M8" s="4"/>
      <c r="N8" s="15">
        <v>0.4270833333333333</v>
      </c>
      <c r="O8" s="15">
        <v>0.017361111111111112</v>
      </c>
      <c r="P8" s="15">
        <v>0.4270833333333333</v>
      </c>
      <c r="AD8" s="9"/>
      <c r="AE8" s="9"/>
      <c r="AF8" s="9"/>
      <c r="AG8" s="9"/>
      <c r="AH8" s="9"/>
      <c r="AI8" s="9"/>
      <c r="AJ8" s="9"/>
    </row>
    <row r="9" spans="1:16" ht="12.75">
      <c r="A9" s="13">
        <v>4</v>
      </c>
      <c r="B9" s="9" t="s">
        <v>196</v>
      </c>
      <c r="C9" s="9" t="s">
        <v>260</v>
      </c>
      <c r="D9" s="14"/>
      <c r="E9" s="9" t="s">
        <v>189</v>
      </c>
      <c r="F9" s="9" t="s">
        <v>149</v>
      </c>
      <c r="G9" s="7"/>
      <c r="H9" s="9" t="s">
        <v>194</v>
      </c>
      <c r="I9" s="9" t="s">
        <v>195</v>
      </c>
      <c r="J9" s="7"/>
      <c r="K9" s="9" t="s">
        <v>189</v>
      </c>
      <c r="L9" s="9" t="s">
        <v>265</v>
      </c>
      <c r="M9" s="4"/>
      <c r="N9" s="15">
        <v>0.4444444444444444</v>
      </c>
      <c r="O9" s="15">
        <v>0.017361111111111112</v>
      </c>
      <c r="P9" s="16">
        <v>0.4583333333333333</v>
      </c>
    </row>
    <row r="10" spans="1:16" ht="12.75">
      <c r="A10" s="13">
        <v>5</v>
      </c>
      <c r="B10" s="9" t="s">
        <v>191</v>
      </c>
      <c r="C10" s="9" t="s">
        <v>261</v>
      </c>
      <c r="D10" s="14"/>
      <c r="E10" s="9" t="s">
        <v>193</v>
      </c>
      <c r="F10" s="9" t="s">
        <v>119</v>
      </c>
      <c r="G10" s="7"/>
      <c r="H10" s="9" t="s">
        <v>189</v>
      </c>
      <c r="I10" s="9" t="s">
        <v>188</v>
      </c>
      <c r="J10" s="7"/>
      <c r="K10" s="9" t="s">
        <v>193</v>
      </c>
      <c r="L10" s="9" t="s">
        <v>267</v>
      </c>
      <c r="M10" s="4"/>
      <c r="N10" s="15">
        <v>0.4618055555555555</v>
      </c>
      <c r="O10" s="15">
        <v>0.017361111111111112</v>
      </c>
      <c r="P10" s="15">
        <v>0.4756944444444444</v>
      </c>
    </row>
    <row r="11" spans="1:16" ht="12.75">
      <c r="A11" s="13"/>
      <c r="B11" s="7"/>
      <c r="C11" s="17"/>
      <c r="D11" s="7"/>
      <c r="E11" s="7"/>
      <c r="F11" s="18"/>
      <c r="G11" s="7"/>
      <c r="H11" s="7"/>
      <c r="I11" s="19"/>
      <c r="J11" s="7"/>
      <c r="K11" s="7"/>
      <c r="L11" s="7"/>
      <c r="M11" s="4"/>
      <c r="N11" s="15">
        <v>0.47916666666666663</v>
      </c>
      <c r="O11" s="15">
        <v>0.017361111111111112</v>
      </c>
      <c r="P11" s="15">
        <v>0.4930555555555555</v>
      </c>
    </row>
    <row r="12" spans="1:16" ht="12.75">
      <c r="A12" s="13"/>
      <c r="B12" s="7"/>
      <c r="C12" s="17" t="s">
        <v>7</v>
      </c>
      <c r="D12" s="7"/>
      <c r="E12" s="7"/>
      <c r="F12" s="7" t="s">
        <v>7</v>
      </c>
      <c r="G12" s="7"/>
      <c r="H12" s="7"/>
      <c r="I12" s="17" t="s">
        <v>8</v>
      </c>
      <c r="J12" s="7"/>
      <c r="K12" s="7"/>
      <c r="L12" s="7" t="s">
        <v>8</v>
      </c>
      <c r="M12" s="4"/>
      <c r="N12" s="15">
        <v>0.49652777777777773</v>
      </c>
      <c r="O12" s="15">
        <v>0.017361111111111112</v>
      </c>
      <c r="P12" s="15">
        <v>0.5104166666666666</v>
      </c>
    </row>
    <row r="13" spans="1:16" ht="12.75">
      <c r="A13" s="13"/>
      <c r="B13" s="7"/>
      <c r="C13" s="17" t="s">
        <v>9</v>
      </c>
      <c r="D13" s="7"/>
      <c r="E13" s="7"/>
      <c r="F13" s="7" t="s">
        <v>10</v>
      </c>
      <c r="G13" s="7"/>
      <c r="H13" s="7"/>
      <c r="I13" s="19" t="s">
        <v>11</v>
      </c>
      <c r="J13" s="7"/>
      <c r="K13" s="7"/>
      <c r="L13" s="7" t="s">
        <v>12</v>
      </c>
      <c r="M13" s="4"/>
      <c r="N13" s="15">
        <v>0.5138888888888888</v>
      </c>
      <c r="O13" s="15">
        <v>0.017361111111111112</v>
      </c>
      <c r="P13" s="15">
        <v>0.5277777777777778</v>
      </c>
    </row>
    <row r="14" spans="1:16" ht="12.75">
      <c r="A14" s="13">
        <v>1</v>
      </c>
      <c r="B14" s="9" t="s">
        <v>185</v>
      </c>
      <c r="C14" s="9" t="s">
        <v>98</v>
      </c>
      <c r="D14" s="14"/>
      <c r="E14" s="9" t="s">
        <v>185</v>
      </c>
      <c r="F14" s="9" t="s">
        <v>103</v>
      </c>
      <c r="G14" s="7"/>
      <c r="H14" s="9" t="s">
        <v>185</v>
      </c>
      <c r="I14" s="9" t="s">
        <v>103</v>
      </c>
      <c r="J14" s="14"/>
      <c r="K14" s="9" t="s">
        <v>185</v>
      </c>
      <c r="L14" s="9" t="s">
        <v>268</v>
      </c>
      <c r="M14" s="4"/>
      <c r="N14" s="15">
        <v>0.53125</v>
      </c>
      <c r="O14" s="15">
        <v>0.017361111111111112</v>
      </c>
      <c r="P14" s="15">
        <v>0.545138888888889</v>
      </c>
    </row>
    <row r="15" spans="1:16" ht="12.75">
      <c r="A15" s="13">
        <v>2</v>
      </c>
      <c r="B15" s="9" t="s">
        <v>186</v>
      </c>
      <c r="C15" s="9" t="s">
        <v>142</v>
      </c>
      <c r="D15" s="7"/>
      <c r="E15" s="9" t="s">
        <v>185</v>
      </c>
      <c r="F15" s="9" t="s">
        <v>192</v>
      </c>
      <c r="G15" s="7"/>
      <c r="H15" s="9" t="s">
        <v>185</v>
      </c>
      <c r="I15" s="9" t="s">
        <v>100</v>
      </c>
      <c r="J15" s="7"/>
      <c r="K15" s="9" t="s">
        <v>186</v>
      </c>
      <c r="L15" s="9" t="s">
        <v>142</v>
      </c>
      <c r="M15" s="4"/>
      <c r="N15" s="16">
        <v>0.5833333333333334</v>
      </c>
      <c r="O15" s="15">
        <v>0.017361111111111112</v>
      </c>
      <c r="P15" s="15">
        <v>0.5625000000000001</v>
      </c>
    </row>
    <row r="16" spans="1:16" ht="12.75">
      <c r="A16" s="13">
        <v>3</v>
      </c>
      <c r="B16" s="9" t="s">
        <v>196</v>
      </c>
      <c r="C16" s="9" t="s">
        <v>295</v>
      </c>
      <c r="D16" s="7"/>
      <c r="E16" s="9" t="s">
        <v>189</v>
      </c>
      <c r="F16" s="9" t="s">
        <v>263</v>
      </c>
      <c r="G16" s="7"/>
      <c r="H16" s="9" t="s">
        <v>193</v>
      </c>
      <c r="I16" s="9" t="s">
        <v>155</v>
      </c>
      <c r="J16" s="7"/>
      <c r="K16" s="9" t="s">
        <v>189</v>
      </c>
      <c r="L16" s="9" t="s">
        <v>263</v>
      </c>
      <c r="M16" s="4"/>
      <c r="N16" s="15">
        <v>0.6006944444444445</v>
      </c>
      <c r="O16" s="15">
        <v>0.017361111111111112</v>
      </c>
      <c r="P16" s="15">
        <v>0.5798611111111113</v>
      </c>
    </row>
    <row r="17" spans="1:16" ht="12.75">
      <c r="A17" s="13">
        <v>4</v>
      </c>
      <c r="B17" s="9" t="s">
        <v>196</v>
      </c>
      <c r="C17" s="9" t="s">
        <v>260</v>
      </c>
      <c r="D17" s="7"/>
      <c r="E17" s="9" t="s">
        <v>190</v>
      </c>
      <c r="F17" s="9" t="s">
        <v>138</v>
      </c>
      <c r="G17" s="7"/>
      <c r="H17" s="9" t="s">
        <v>193</v>
      </c>
      <c r="I17" s="9" t="s">
        <v>266</v>
      </c>
      <c r="J17" s="7"/>
      <c r="K17" s="9" t="s">
        <v>191</v>
      </c>
      <c r="L17" s="9" t="s">
        <v>261</v>
      </c>
      <c r="M17" s="4"/>
      <c r="N17" s="15">
        <v>0.6180555555555557</v>
      </c>
      <c r="O17" s="15">
        <v>0.017361111111111112</v>
      </c>
      <c r="P17" s="15">
        <v>0.5972222222222224</v>
      </c>
    </row>
    <row r="18" spans="1:16" ht="12.75">
      <c r="A18" s="13">
        <v>5</v>
      </c>
      <c r="B18" s="9" t="s">
        <v>189</v>
      </c>
      <c r="C18" s="9" t="s">
        <v>149</v>
      </c>
      <c r="D18" s="7"/>
      <c r="E18" s="9" t="s">
        <v>193</v>
      </c>
      <c r="F18" s="9" t="s">
        <v>119</v>
      </c>
      <c r="G18" s="7"/>
      <c r="H18" s="9" t="s">
        <v>189</v>
      </c>
      <c r="I18" s="9" t="s">
        <v>188</v>
      </c>
      <c r="J18" s="7"/>
      <c r="K18" s="9" t="s">
        <v>196</v>
      </c>
      <c r="L18" s="9" t="s">
        <v>295</v>
      </c>
      <c r="M18" s="4"/>
      <c r="N18" s="15">
        <v>0.6354166666666669</v>
      </c>
      <c r="O18" s="15">
        <v>0.017361111111111112</v>
      </c>
      <c r="P18" s="15">
        <v>0.6145833333333336</v>
      </c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4"/>
      <c r="N19" s="15">
        <v>0.652777777777778</v>
      </c>
      <c r="O19" s="15">
        <v>0.017361111111111112</v>
      </c>
      <c r="P19" s="15">
        <v>0.6319444444444448</v>
      </c>
    </row>
    <row r="20" spans="1:16" ht="12.75">
      <c r="A20" s="7"/>
      <c r="B20" s="7"/>
      <c r="C20" s="7"/>
      <c r="D20" s="7"/>
      <c r="E20" s="7"/>
      <c r="F20" s="17"/>
      <c r="G20" s="17"/>
      <c r="H20" s="17"/>
      <c r="I20" s="17"/>
      <c r="J20" s="7"/>
      <c r="K20" s="7"/>
      <c r="L20" s="7"/>
      <c r="M20" s="4"/>
      <c r="N20" s="15">
        <v>0.6701388888888892</v>
      </c>
      <c r="O20" s="15">
        <v>0.017361111111111112</v>
      </c>
      <c r="P20" s="15">
        <v>0.6493055555555559</v>
      </c>
    </row>
    <row r="21" spans="1:16" ht="12.75">
      <c r="A21" s="7"/>
      <c r="B21" s="7"/>
      <c r="C21" s="7"/>
      <c r="D21" s="20" t="s">
        <v>253</v>
      </c>
      <c r="E21" s="7"/>
      <c r="F21" s="17"/>
      <c r="G21" s="20" t="s">
        <v>13</v>
      </c>
      <c r="H21" s="17"/>
      <c r="I21" s="17"/>
      <c r="J21" s="20" t="s">
        <v>254</v>
      </c>
      <c r="K21" s="17"/>
      <c r="L21" s="17"/>
      <c r="M21" s="4"/>
      <c r="N21" s="15">
        <v>0.6875000000000003</v>
      </c>
      <c r="O21" s="15">
        <v>0.017361111111111112</v>
      </c>
      <c r="P21" s="15">
        <v>0.6666666666666671</v>
      </c>
    </row>
    <row r="22" spans="1:16" ht="12.75">
      <c r="A22" s="7"/>
      <c r="B22" s="21" t="s">
        <v>175</v>
      </c>
      <c r="C22" s="22" t="s">
        <v>164</v>
      </c>
      <c r="D22" s="7"/>
      <c r="E22" s="21" t="s">
        <v>176</v>
      </c>
      <c r="F22" s="23" t="s">
        <v>165</v>
      </c>
      <c r="G22" s="7"/>
      <c r="H22" s="21" t="s">
        <v>175</v>
      </c>
      <c r="I22" s="22" t="s">
        <v>164</v>
      </c>
      <c r="J22" s="7"/>
      <c r="K22" s="21" t="s">
        <v>176</v>
      </c>
      <c r="L22" s="23" t="s">
        <v>165</v>
      </c>
      <c r="M22" s="4"/>
      <c r="N22" s="15">
        <v>0.7048611111111115</v>
      </c>
      <c r="O22" s="15">
        <v>0.017361111111111112</v>
      </c>
      <c r="P22" s="15">
        <v>0.6840277777777782</v>
      </c>
    </row>
    <row r="23" spans="1:16" ht="12.75">
      <c r="A23" s="7"/>
      <c r="B23" s="21" t="s">
        <v>173</v>
      </c>
      <c r="C23" s="22" t="s">
        <v>162</v>
      </c>
      <c r="D23" s="7"/>
      <c r="E23" s="21" t="s">
        <v>174</v>
      </c>
      <c r="F23" s="23" t="s">
        <v>163</v>
      </c>
      <c r="G23" s="7"/>
      <c r="H23" s="21" t="s">
        <v>173</v>
      </c>
      <c r="I23" s="22" t="s">
        <v>162</v>
      </c>
      <c r="J23" s="7"/>
      <c r="K23" s="21" t="s">
        <v>174</v>
      </c>
      <c r="L23" s="23" t="s">
        <v>163</v>
      </c>
      <c r="M23" s="4"/>
      <c r="N23" s="15">
        <v>0.7222222222222227</v>
      </c>
      <c r="O23" s="15">
        <v>0.017361111111111112</v>
      </c>
      <c r="P23" s="15">
        <v>0.7013888888888894</v>
      </c>
    </row>
    <row r="24" spans="1:16" ht="12.75">
      <c r="A24" s="7"/>
      <c r="B24" s="21" t="s">
        <v>182</v>
      </c>
      <c r="C24" s="22" t="s">
        <v>171</v>
      </c>
      <c r="D24" s="7"/>
      <c r="E24" s="21" t="s">
        <v>179</v>
      </c>
      <c r="F24" s="24" t="s">
        <v>168</v>
      </c>
      <c r="G24" s="7"/>
      <c r="H24" s="21" t="s">
        <v>182</v>
      </c>
      <c r="I24" s="22" t="s">
        <v>171</v>
      </c>
      <c r="J24" s="7"/>
      <c r="K24" s="21" t="s">
        <v>179</v>
      </c>
      <c r="L24" s="24" t="s">
        <v>168</v>
      </c>
      <c r="M24" s="4"/>
      <c r="N24" s="15">
        <v>0.7395833333333338</v>
      </c>
      <c r="O24" s="15">
        <v>0.017361111111111112</v>
      </c>
      <c r="P24" s="15">
        <v>0.7187500000000006</v>
      </c>
    </row>
    <row r="25" spans="1:16" ht="12.75">
      <c r="A25" s="7"/>
      <c r="B25" s="21" t="s">
        <v>180</v>
      </c>
      <c r="C25" s="22" t="s">
        <v>169</v>
      </c>
      <c r="D25" s="7"/>
      <c r="E25" s="21" t="s">
        <v>177</v>
      </c>
      <c r="F25" s="23" t="s">
        <v>166</v>
      </c>
      <c r="G25" s="7"/>
      <c r="H25" s="21" t="s">
        <v>180</v>
      </c>
      <c r="I25" s="22" t="s">
        <v>169</v>
      </c>
      <c r="J25" s="7"/>
      <c r="K25" s="21" t="s">
        <v>177</v>
      </c>
      <c r="L25" s="23" t="s">
        <v>166</v>
      </c>
      <c r="M25" s="4"/>
      <c r="N25" s="15">
        <v>0.756944444444445</v>
      </c>
      <c r="O25" s="15">
        <v>0.017361111111111112</v>
      </c>
      <c r="P25" s="15">
        <v>0.7361111111111117</v>
      </c>
    </row>
    <row r="26" spans="1:16" ht="12.75">
      <c r="A26" s="7"/>
      <c r="B26" s="21" t="s">
        <v>178</v>
      </c>
      <c r="C26" s="22" t="s">
        <v>167</v>
      </c>
      <c r="D26" s="7"/>
      <c r="E26" s="21" t="s">
        <v>181</v>
      </c>
      <c r="F26" s="23" t="s">
        <v>170</v>
      </c>
      <c r="G26" s="7"/>
      <c r="H26" s="21" t="s">
        <v>178</v>
      </c>
      <c r="I26" s="22" t="s">
        <v>167</v>
      </c>
      <c r="J26" s="7"/>
      <c r="K26" s="21" t="s">
        <v>181</v>
      </c>
      <c r="L26" s="23" t="s">
        <v>170</v>
      </c>
      <c r="M26" s="4"/>
      <c r="N26" s="15">
        <v>0.7743055555555561</v>
      </c>
      <c r="O26" s="15">
        <v>0.017361111111111112</v>
      </c>
      <c r="P26" s="15">
        <v>0.7534722222222229</v>
      </c>
    </row>
    <row r="27" spans="1:16" ht="12.75">
      <c r="A27" s="7"/>
      <c r="B27" s="25"/>
      <c r="C27" s="26"/>
      <c r="D27" s="27"/>
      <c r="E27" s="28"/>
      <c r="F27" s="29"/>
      <c r="G27" s="27"/>
      <c r="H27" s="28"/>
      <c r="I27" s="26"/>
      <c r="J27" s="27"/>
      <c r="K27" s="28"/>
      <c r="L27" s="29"/>
      <c r="M27" s="4"/>
      <c r="N27" s="15">
        <v>0.7916666666666673</v>
      </c>
      <c r="O27" s="15">
        <v>0.017361111111111112</v>
      </c>
      <c r="P27" s="15">
        <v>0.770833333333334</v>
      </c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4"/>
      <c r="N28" s="15">
        <v>0.8090277777777785</v>
      </c>
      <c r="O28" s="15">
        <v>0.017361111111111112</v>
      </c>
      <c r="P28" s="15">
        <v>0.7881944444444452</v>
      </c>
    </row>
    <row r="29" spans="1:16" ht="12.75">
      <c r="A29" s="7"/>
      <c r="B29" s="7"/>
      <c r="C29" s="7"/>
      <c r="D29" s="20" t="s">
        <v>256</v>
      </c>
      <c r="E29" s="7"/>
      <c r="F29" s="7"/>
      <c r="G29" s="7"/>
      <c r="H29" s="7"/>
      <c r="I29" s="7"/>
      <c r="J29" s="20" t="s">
        <v>255</v>
      </c>
      <c r="K29" s="7"/>
      <c r="L29" s="7"/>
      <c r="M29" s="4"/>
      <c r="N29" s="15">
        <v>0.8263888888888896</v>
      </c>
      <c r="O29" s="15">
        <v>0.017361111111111112</v>
      </c>
      <c r="P29" s="15">
        <v>0.8055555555555564</v>
      </c>
    </row>
    <row r="30" spans="1:16" ht="12.75">
      <c r="A30" s="7"/>
      <c r="B30" s="21" t="s">
        <v>175</v>
      </c>
      <c r="C30" s="22" t="s">
        <v>164</v>
      </c>
      <c r="D30" s="7"/>
      <c r="E30" s="21" t="s">
        <v>176</v>
      </c>
      <c r="F30" s="23" t="s">
        <v>165</v>
      </c>
      <c r="G30" s="7"/>
      <c r="H30" s="21" t="s">
        <v>175</v>
      </c>
      <c r="I30" s="22" t="s">
        <v>164</v>
      </c>
      <c r="J30" s="7"/>
      <c r="K30" s="21" t="s">
        <v>176</v>
      </c>
      <c r="L30" s="23" t="s">
        <v>165</v>
      </c>
      <c r="M30" s="4"/>
      <c r="N30" s="15">
        <v>0.8437500000000008</v>
      </c>
      <c r="O30" s="15">
        <v>0.017361111111111112</v>
      </c>
      <c r="P30" s="15">
        <v>0.8229166666666675</v>
      </c>
    </row>
    <row r="31" spans="1:16" ht="12.75">
      <c r="A31" s="7"/>
      <c r="B31" s="21" t="s">
        <v>173</v>
      </c>
      <c r="C31" s="22" t="s">
        <v>162</v>
      </c>
      <c r="D31" s="7"/>
      <c r="E31" s="21" t="s">
        <v>174</v>
      </c>
      <c r="F31" s="23" t="s">
        <v>163</v>
      </c>
      <c r="G31" s="7"/>
      <c r="H31" s="21" t="s">
        <v>173</v>
      </c>
      <c r="I31" s="22" t="s">
        <v>162</v>
      </c>
      <c r="J31" s="7"/>
      <c r="K31" s="21" t="s">
        <v>174</v>
      </c>
      <c r="L31" s="23" t="s">
        <v>163</v>
      </c>
      <c r="M31" s="4"/>
      <c r="N31" s="15"/>
      <c r="O31" s="15"/>
      <c r="P31" s="15"/>
    </row>
    <row r="32" spans="1:16" ht="12.75">
      <c r="A32" s="7"/>
      <c r="B32" s="21" t="s">
        <v>182</v>
      </c>
      <c r="C32" s="22" t="s">
        <v>171</v>
      </c>
      <c r="D32" s="7"/>
      <c r="E32" s="21" t="s">
        <v>179</v>
      </c>
      <c r="F32" s="24" t="s">
        <v>168</v>
      </c>
      <c r="G32" s="7"/>
      <c r="H32" s="21" t="s">
        <v>182</v>
      </c>
      <c r="I32" s="22" t="s">
        <v>171</v>
      </c>
      <c r="J32" s="7"/>
      <c r="K32" s="21" t="s">
        <v>179</v>
      </c>
      <c r="L32" s="24" t="s">
        <v>168</v>
      </c>
      <c r="M32" s="4"/>
      <c r="N32" s="15"/>
      <c r="O32" s="15"/>
      <c r="P32" s="15"/>
    </row>
    <row r="33" spans="1:16" ht="12.75">
      <c r="A33" s="7"/>
      <c r="B33" s="21" t="s">
        <v>180</v>
      </c>
      <c r="C33" s="22" t="s">
        <v>169</v>
      </c>
      <c r="D33" s="7"/>
      <c r="E33" s="21" t="s">
        <v>177</v>
      </c>
      <c r="F33" s="23" t="s">
        <v>166</v>
      </c>
      <c r="G33" s="7"/>
      <c r="H33" s="21" t="s">
        <v>180</v>
      </c>
      <c r="I33" s="22" t="s">
        <v>169</v>
      </c>
      <c r="J33" s="7"/>
      <c r="K33" s="21" t="s">
        <v>177</v>
      </c>
      <c r="L33" s="23" t="s">
        <v>166</v>
      </c>
      <c r="M33" s="4"/>
      <c r="N33" s="15"/>
      <c r="O33" s="15"/>
      <c r="P33" s="15"/>
    </row>
    <row r="34" spans="1:16" ht="12.75">
      <c r="A34" s="7"/>
      <c r="B34" s="21" t="s">
        <v>178</v>
      </c>
      <c r="C34" s="22" t="s">
        <v>167</v>
      </c>
      <c r="D34" s="7"/>
      <c r="E34" s="21" t="s">
        <v>181</v>
      </c>
      <c r="F34" s="23" t="s">
        <v>170</v>
      </c>
      <c r="G34" s="7"/>
      <c r="H34" s="21" t="s">
        <v>178</v>
      </c>
      <c r="I34" s="22" t="s">
        <v>167</v>
      </c>
      <c r="J34" s="7"/>
      <c r="K34" s="21" t="s">
        <v>181</v>
      </c>
      <c r="L34" s="23" t="s">
        <v>170</v>
      </c>
      <c r="M34" s="4"/>
      <c r="N34" s="15"/>
      <c r="O34" s="15"/>
      <c r="P34" s="15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4"/>
      <c r="N35" s="15"/>
      <c r="O35" s="15"/>
      <c r="P35" s="15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 t="s">
        <v>14</v>
      </c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0" t="s">
        <v>269</v>
      </c>
      <c r="B40" s="30"/>
      <c r="C40" s="3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1" t="s">
        <v>292</v>
      </c>
      <c r="B41" s="30"/>
      <c r="C41" s="3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2" t="s">
        <v>293</v>
      </c>
      <c r="B42" s="32"/>
      <c r="C42" s="3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0" t="s">
        <v>291</v>
      </c>
      <c r="B43" s="30"/>
      <c r="C43" s="30"/>
      <c r="D43" s="4"/>
      <c r="E43" s="9" t="s">
        <v>296</v>
      </c>
      <c r="F43" s="9"/>
      <c r="G43" s="9"/>
      <c r="H43" s="9"/>
      <c r="I43" s="9"/>
      <c r="J43" s="9"/>
      <c r="K43" s="9"/>
      <c r="L43" s="9"/>
      <c r="M43" s="4"/>
      <c r="N43" s="4"/>
      <c r="O43" s="4"/>
      <c r="P43" s="4"/>
    </row>
    <row r="44" spans="1:1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9" ht="12.7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2.7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2.7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2.7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2.7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2.7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2.7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2.7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2.7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2.7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2.7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2.7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2.7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2.7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2.7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2.7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2.7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2.7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2.7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2.75">
      <c r="A70" s="33"/>
      <c r="B70" s="33"/>
      <c r="C70" s="33"/>
      <c r="D70" s="33"/>
      <c r="E70" s="33"/>
      <c r="F70" s="33"/>
      <c r="G70" s="33"/>
      <c r="H70" s="33"/>
      <c r="I70" s="33"/>
    </row>
    <row r="71" spans="1:9" ht="12.7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2.7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2.75">
      <c r="A73" s="33"/>
      <c r="B73" s="33"/>
      <c r="C73" s="33"/>
      <c r="D73" s="33"/>
      <c r="E73" s="33"/>
      <c r="F73" s="33"/>
      <c r="G73" s="33"/>
      <c r="H73" s="33"/>
      <c r="I73" s="33"/>
    </row>
    <row r="74" spans="1:9" ht="12.7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2.7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2.7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2.75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2.7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2.7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2.75">
      <c r="A80" s="33"/>
      <c r="B80" s="33"/>
      <c r="C80" s="33"/>
      <c r="D80" s="33"/>
      <c r="E80" s="33"/>
      <c r="F80" s="33"/>
      <c r="G80" s="33"/>
      <c r="H80" s="33"/>
      <c r="I80" s="33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110" r:id="rId3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5"/>
  <sheetViews>
    <sheetView zoomScalePageLayoutView="0" workbookViewId="0" topLeftCell="B89">
      <selection activeCell="K123" sqref="K123"/>
    </sheetView>
  </sheetViews>
  <sheetFormatPr defaultColWidth="11.421875" defaultRowHeight="12.75" outlineLevelRow="1" outlineLevelCol="1"/>
  <cols>
    <col min="1" max="1" width="7.57421875" style="3" hidden="1" customWidth="1" outlineLevel="1"/>
    <col min="2" max="2" width="3.7109375" style="3" customWidth="1" collapsed="1"/>
    <col min="3" max="3" width="4.8515625" style="3" customWidth="1"/>
    <col min="4" max="4" width="3.28125" style="3" customWidth="1"/>
    <col min="5" max="5" width="4.140625" style="3" customWidth="1"/>
    <col min="6" max="6" width="3.140625" style="3" customWidth="1"/>
    <col min="7" max="7" width="2.7109375" style="3" hidden="1" customWidth="1" outlineLevel="1"/>
    <col min="8" max="8" width="18.7109375" style="3" customWidth="1" collapsed="1"/>
    <col min="9" max="9" width="1.421875" style="3" customWidth="1"/>
    <col min="10" max="10" width="2.7109375" style="3" hidden="1" customWidth="1" outlineLevel="1"/>
    <col min="11" max="11" width="18.7109375" style="3" customWidth="1" collapsed="1"/>
    <col min="12" max="12" width="3.140625" style="3" customWidth="1"/>
    <col min="13" max="13" width="2.7109375" style="3" hidden="1" customWidth="1" outlineLevel="1"/>
    <col min="14" max="14" width="18.7109375" style="3" customWidth="1" collapsed="1"/>
    <col min="15" max="15" width="4.8515625" style="3" customWidth="1" outlineLevel="1"/>
    <col min="16" max="16" width="2.7109375" style="3" customWidth="1" outlineLevel="1"/>
    <col min="17" max="17" width="1.421875" style="3" customWidth="1" outlineLevel="1"/>
    <col min="18" max="19" width="2.7109375" style="3" customWidth="1" outlineLevel="1"/>
    <col min="20" max="20" width="1.421875" style="3" customWidth="1" outlineLevel="1"/>
    <col min="21" max="21" width="2.7109375" style="3" customWidth="1" outlineLevel="1"/>
    <col min="22" max="22" width="0.71875" style="3" customWidth="1"/>
    <col min="23" max="24" width="8.28125" style="3" hidden="1" customWidth="1" outlineLevel="1"/>
    <col min="25" max="25" width="1.8515625" style="33" customWidth="1" collapsed="1"/>
    <col min="26" max="26" width="5.57421875" style="3" bestFit="1" customWidth="1"/>
    <col min="27" max="27" width="6.8515625" style="3" bestFit="1" customWidth="1"/>
    <col min="28" max="28" width="3.00390625" style="3" bestFit="1" customWidth="1"/>
    <col min="29" max="16384" width="11.421875" style="3" customWidth="1"/>
  </cols>
  <sheetData>
    <row r="1" spans="2:24" ht="22.5">
      <c r="B1" s="60" t="str">
        <f>+Daten!A1&amp;" "&amp;Daten!B1&amp;" "&amp;Daten!I1</f>
        <v>52. Deutsche Prellball Meisterschaften der Jugend 2015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5" customHeigh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8" ht="15.75" customHeight="1">
      <c r="B3" s="39"/>
      <c r="C3" s="63" t="str">
        <f>+Daten!A41</f>
        <v>18.04.2015</v>
      </c>
      <c r="D3" s="40"/>
      <c r="H3" s="64" t="str">
        <f>+Daten!E43</f>
        <v>Sporthalle Hermine-Berthold-Str. 19/20, 28205 Bremen</v>
      </c>
    </row>
    <row r="4" spans="2:4" ht="15" customHeight="1">
      <c r="B4" s="39"/>
      <c r="C4" s="39"/>
      <c r="D4" s="40"/>
    </row>
    <row r="5" spans="1:24" ht="12.75" hidden="1" outlineLevel="1">
      <c r="A5" s="33"/>
      <c r="B5" s="33" t="str">
        <f>+Daten!C4</f>
        <v>weibl. Jugend 11-14</v>
      </c>
      <c r="C5" s="33"/>
      <c r="D5" s="33"/>
      <c r="E5" s="33"/>
      <c r="F5" s="33"/>
      <c r="G5" s="33"/>
      <c r="H5" s="33" t="str">
        <f>+Daten!C12</f>
        <v>weibl. Jugend 15-18</v>
      </c>
      <c r="I5" s="33"/>
      <c r="J5" s="33"/>
      <c r="K5" s="33" t="str">
        <f>+Daten!I4</f>
        <v>männl. Jugend 11-14</v>
      </c>
      <c r="L5" s="33"/>
      <c r="M5" s="33"/>
      <c r="N5" s="33" t="str">
        <f>+Daten!I12</f>
        <v>männl. Jugend 15-18</v>
      </c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2.75" hidden="1" outlineLevel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4.5" customHeight="1" hidden="1" outlineLevel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2.75" hidden="1" outlineLevel="1">
      <c r="A8" s="33"/>
      <c r="B8" s="33" t="s">
        <v>15</v>
      </c>
      <c r="C8" s="33"/>
      <c r="D8" s="33"/>
      <c r="E8" s="33"/>
      <c r="F8" s="33"/>
      <c r="G8" s="33"/>
      <c r="H8" s="33" t="s">
        <v>17</v>
      </c>
      <c r="I8" s="33"/>
      <c r="J8" s="33"/>
      <c r="K8" s="33" t="s">
        <v>16</v>
      </c>
      <c r="L8" s="33"/>
      <c r="M8" s="33"/>
      <c r="N8" s="33" t="s">
        <v>18</v>
      </c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 hidden="1" outlineLevel="1">
      <c r="A9" s="33">
        <v>1</v>
      </c>
      <c r="B9" s="33" t="str">
        <f>IF(Daten!C6="","",Daten!C6)</f>
        <v>MTV Eiche Schönebeck</v>
      </c>
      <c r="C9" s="33"/>
      <c r="D9" s="33"/>
      <c r="E9" s="33"/>
      <c r="F9" s="33"/>
      <c r="G9" s="33"/>
      <c r="H9" s="33" t="str">
        <f>IF(Daten!C14="","",Daten!C14)</f>
        <v>MTV Wohnste</v>
      </c>
      <c r="I9" s="33"/>
      <c r="J9" s="33"/>
      <c r="K9" s="33" t="str">
        <f>IF(Daten!I6="","",Daten!I6)</f>
        <v>TSV Ohorn</v>
      </c>
      <c r="L9" s="33"/>
      <c r="M9" s="33"/>
      <c r="N9" s="33" t="str">
        <f>IF(Daten!I14="","",Daten!I14)</f>
        <v>TV Sottrum</v>
      </c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2.75" hidden="1" outlineLevel="1">
      <c r="A10" s="33">
        <v>2</v>
      </c>
      <c r="B10" s="33" t="str">
        <f>IF(Daten!C7="","",Daten!C7)</f>
        <v>TV Sottrum</v>
      </c>
      <c r="C10" s="33"/>
      <c r="D10" s="33"/>
      <c r="E10" s="33"/>
      <c r="F10" s="33"/>
      <c r="G10" s="33"/>
      <c r="H10" s="33" t="str">
        <f>IF(Daten!C15="","",Daten!C15)</f>
        <v>MTV Eiche Schönebeck</v>
      </c>
      <c r="I10" s="33"/>
      <c r="J10" s="33"/>
      <c r="K10" s="33" t="str">
        <f>IF(Daten!I7="","",Daten!I7)</f>
        <v>MTV Eiche Schönebeck</v>
      </c>
      <c r="L10" s="33"/>
      <c r="M10" s="33"/>
      <c r="N10" s="33" t="str">
        <f>IF(Daten!I15="","",Daten!I15)</f>
        <v>TuS Aschen-Strang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12.75" hidden="1" outlineLevel="1">
      <c r="A11" s="33">
        <v>3</v>
      </c>
      <c r="B11" s="33" t="str">
        <f>IF(Daten!C8="","",Daten!C8)</f>
        <v>TuS Meinerzhagen</v>
      </c>
      <c r="C11" s="33"/>
      <c r="D11" s="33"/>
      <c r="E11" s="33"/>
      <c r="F11" s="33"/>
      <c r="G11" s="33"/>
      <c r="H11" s="33" t="str">
        <f>IF(Daten!C16="","",Daten!C16)</f>
        <v>TV Kierdorf 1962</v>
      </c>
      <c r="I11" s="33"/>
      <c r="J11" s="33"/>
      <c r="K11" s="33" t="str">
        <f>IF(Daten!I8="","",Daten!I8)</f>
        <v>Kölner TB</v>
      </c>
      <c r="L11" s="33"/>
      <c r="M11" s="33"/>
      <c r="N11" s="33" t="str">
        <f>IF(Daten!I16="","",Daten!I16)</f>
        <v>TV Jahn Bad Lippspringe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2.75" hidden="1" outlineLevel="1">
      <c r="A12" s="33">
        <v>4</v>
      </c>
      <c r="B12" s="33" t="str">
        <f>IF(Daten!C9="","",Daten!C9)</f>
        <v>TV Winterhagen</v>
      </c>
      <c r="C12" s="33"/>
      <c r="D12" s="33"/>
      <c r="E12" s="33"/>
      <c r="F12" s="33"/>
      <c r="G12" s="33"/>
      <c r="H12" s="33" t="str">
        <f>IF(Daten!C17="","",Daten!C17)</f>
        <v>TV Winterhagen</v>
      </c>
      <c r="I12" s="33"/>
      <c r="J12" s="33"/>
      <c r="K12" s="33" t="str">
        <f>IF(Daten!I9="","",Daten!I9)</f>
        <v>PV Gundernhausen</v>
      </c>
      <c r="L12" s="33"/>
      <c r="M12" s="33"/>
      <c r="N12" s="33" t="str">
        <f>IF(Daten!I17="","",Daten!I17)</f>
        <v>TuS Westfalia Dortmund-Sölde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2.75" hidden="1" outlineLevel="1">
      <c r="A13" s="33">
        <v>5</v>
      </c>
      <c r="B13" s="33" t="str">
        <f>IF(Daten!C10="","",Daten!C10)</f>
        <v>TV Rieschweiler</v>
      </c>
      <c r="C13" s="33"/>
      <c r="D13" s="33"/>
      <c r="E13" s="33"/>
      <c r="F13" s="33"/>
      <c r="G13" s="33"/>
      <c r="H13" s="33" t="str">
        <f>IF(Daten!C18="","",Daten!C18)</f>
        <v>SV Diepoldshofen</v>
      </c>
      <c r="I13" s="33"/>
      <c r="J13" s="33"/>
      <c r="K13" s="33" t="str">
        <f>IF(Daten!I10="","",Daten!I10)</f>
        <v>VfL Waiblingen</v>
      </c>
      <c r="L13" s="33"/>
      <c r="M13" s="33"/>
      <c r="N13" s="33" t="str">
        <f>IF(Daten!I18="","",Daten!I18)</f>
        <v>VfL Waiblingen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12.75" hidden="1" outlineLevel="1">
      <c r="A14" s="33">
        <v>11</v>
      </c>
      <c r="B14" s="33" t="str">
        <f>IF(Daten!F6="","",Daten!F6)</f>
        <v>TV Mahndorf</v>
      </c>
      <c r="C14" s="33"/>
      <c r="D14" s="33"/>
      <c r="E14" s="33"/>
      <c r="F14" s="33"/>
      <c r="G14" s="33"/>
      <c r="H14" s="33" t="str">
        <f>IF(Daten!F14="","",Daten!F14)</f>
        <v>TV Sottrum</v>
      </c>
      <c r="I14" s="33"/>
      <c r="J14" s="33"/>
      <c r="K14" s="33" t="str">
        <f>IF(Daten!L6="","",Daten!L6)</f>
        <v>TSV Marienfelde</v>
      </c>
      <c r="L14" s="33"/>
      <c r="M14" s="33"/>
      <c r="N14" s="33" t="str">
        <f>IF(Daten!L14="","",Daten!L14)</f>
        <v>SV Werder Bremen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12.75" hidden="1" outlineLevel="1">
      <c r="A15" s="33">
        <v>12</v>
      </c>
      <c r="B15" s="33" t="str">
        <f>IF(Daten!F7="","",Daten!F7)</f>
        <v>MTV Wohnste</v>
      </c>
      <c r="C15" s="33"/>
      <c r="D15" s="33"/>
      <c r="E15" s="33"/>
      <c r="F15" s="33"/>
      <c r="G15" s="33"/>
      <c r="H15" s="33" t="str">
        <f>IF(Daten!F15="","",Daten!F15)</f>
        <v>TuS Concordia Hülsede</v>
      </c>
      <c r="I15" s="33"/>
      <c r="J15" s="33"/>
      <c r="K15" s="33" t="str">
        <f>IF(Daten!L7="","",Daten!L7)</f>
        <v>SV Werder Bremen</v>
      </c>
      <c r="L15" s="33"/>
      <c r="M15" s="33"/>
      <c r="N15" s="33" t="str">
        <f>IF(Daten!L15="","",Daten!L15)</f>
        <v>MTV Eiche Schönebeck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12.75" hidden="1" outlineLevel="1">
      <c r="A16" s="33">
        <v>13</v>
      </c>
      <c r="B16" s="33" t="str">
        <f>IF(Daten!F8="","",Daten!F8)</f>
        <v>SV Weiler</v>
      </c>
      <c r="C16" s="33"/>
      <c r="D16" s="33"/>
      <c r="E16" s="33"/>
      <c r="F16" s="33"/>
      <c r="G16" s="33"/>
      <c r="H16" s="33" t="str">
        <f>IF(Daten!F16="","",Daten!F16)</f>
        <v>TSV Wuchzenhofen</v>
      </c>
      <c r="I16" s="33"/>
      <c r="J16" s="33"/>
      <c r="K16" s="33" t="str">
        <f>IF(Daten!L8="","",Daten!L8)</f>
        <v>TV Reutin</v>
      </c>
      <c r="L16" s="33"/>
      <c r="M16" s="33"/>
      <c r="N16" s="33" t="str">
        <f>IF(Daten!L16="","",Daten!L16)</f>
        <v>TSV Wuchzenhofen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12.75" hidden="1" outlineLevel="1">
      <c r="A17" s="33">
        <v>14</v>
      </c>
      <c r="B17" s="33" t="str">
        <f>IF(Daten!F9="","",Daten!F9)</f>
        <v>SV Diepoldshofen</v>
      </c>
      <c r="C17" s="33"/>
      <c r="D17" s="33"/>
      <c r="E17" s="33"/>
      <c r="F17" s="33"/>
      <c r="G17" s="33"/>
      <c r="H17" s="33" t="str">
        <f>IF(Daten!F17="","",Daten!F17)</f>
        <v>TSV Babenhausen</v>
      </c>
      <c r="I17" s="33"/>
      <c r="J17" s="33"/>
      <c r="K17" s="33" t="str">
        <f>IF(Daten!L9="","",Daten!L9)</f>
        <v>SV Weiler</v>
      </c>
      <c r="L17" s="33"/>
      <c r="M17" s="33"/>
      <c r="N17" s="33" t="str">
        <f>IF(Daten!L17="","",Daten!L17)</f>
        <v>TV Rieschweiler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12.75" hidden="1" outlineLevel="1">
      <c r="A18" s="33">
        <v>15</v>
      </c>
      <c r="B18" s="33" t="str">
        <f>IF(Daten!F10="","",Daten!F10)</f>
        <v>TV Berkenbaum</v>
      </c>
      <c r="C18" s="33"/>
      <c r="D18" s="33"/>
      <c r="E18" s="33"/>
      <c r="F18" s="33"/>
      <c r="G18" s="33"/>
      <c r="H18" s="33" t="str">
        <f>IF(Daten!F18="","",Daten!F18)</f>
        <v>TV Berkenbaum</v>
      </c>
      <c r="I18" s="33"/>
      <c r="J18" s="33"/>
      <c r="K18" s="33" t="str">
        <f>IF(Daten!L10="","",Daten!L10)</f>
        <v>TV "Frisch Auf" Altenbochum</v>
      </c>
      <c r="L18" s="33"/>
      <c r="M18" s="33"/>
      <c r="N18" s="33" t="str">
        <f>IF(Daten!L18="","",Daten!L18)</f>
        <v>TV Kierdorf 1962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="33" customFormat="1" ht="11.25" hidden="1" outlineLevel="1"/>
    <row r="20" s="33" customFormat="1" ht="11.25" hidden="1" outlineLevel="1"/>
    <row r="21" s="33" customFormat="1" ht="11.25" hidden="1" outlineLevel="1"/>
    <row r="22" spans="1:14" ht="12.75" hidden="1" outlineLevel="1">
      <c r="A22" s="33"/>
      <c r="B22" s="33"/>
      <c r="H22" s="33"/>
      <c r="I22" s="33"/>
      <c r="J22" s="33"/>
      <c r="K22" s="33"/>
      <c r="L22" s="33"/>
      <c r="M22" s="33"/>
      <c r="N22" s="33"/>
    </row>
    <row r="23" ht="4.5" customHeight="1" hidden="1" outlineLevel="1"/>
    <row r="24" spans="2:24" s="33" customFormat="1" ht="12.75" customHeight="1" collapsed="1" thickBot="1">
      <c r="B24" s="41" t="s">
        <v>35</v>
      </c>
      <c r="C24" s="41" t="s">
        <v>2</v>
      </c>
      <c r="D24" s="41" t="s">
        <v>36</v>
      </c>
      <c r="E24" s="41" t="s">
        <v>37</v>
      </c>
      <c r="F24" s="41"/>
      <c r="G24" s="41"/>
      <c r="H24" s="41" t="s">
        <v>38</v>
      </c>
      <c r="I24" s="41"/>
      <c r="J24" s="41"/>
      <c r="K24" s="41" t="s">
        <v>38</v>
      </c>
      <c r="L24" s="41"/>
      <c r="M24" s="41"/>
      <c r="N24" s="41" t="s">
        <v>39</v>
      </c>
      <c r="O24" s="41" t="s">
        <v>40</v>
      </c>
      <c r="P24" s="41"/>
      <c r="Q24" s="41" t="s">
        <v>41</v>
      </c>
      <c r="R24" s="41"/>
      <c r="S24" s="41"/>
      <c r="T24" s="41" t="s">
        <v>42</v>
      </c>
      <c r="U24" s="41"/>
      <c r="W24" s="41" t="s">
        <v>41</v>
      </c>
      <c r="X24" s="41" t="s">
        <v>42</v>
      </c>
    </row>
    <row r="25" spans="1:27" s="33" customFormat="1" ht="12.75" customHeight="1" thickTop="1">
      <c r="A25" s="33" t="str">
        <f>F25&amp;TEXT(G25,"00")&amp;TEXT(J25,"00")</f>
        <v>w110102</v>
      </c>
      <c r="B25" s="33">
        <v>1</v>
      </c>
      <c r="C25" s="42">
        <f>+Daten!N5</f>
        <v>0.375</v>
      </c>
      <c r="D25" s="33">
        <v>1</v>
      </c>
      <c r="E25" s="33">
        <v>1</v>
      </c>
      <c r="F25" s="43" t="s">
        <v>15</v>
      </c>
      <c r="G25" s="33">
        <v>1</v>
      </c>
      <c r="H25" s="44" t="str">
        <f ca="1" t="shared" si="0" ref="H25:H64">INDIRECT(ADDRESS(MATCH(G25,$A$1:$A$22,0),MATCH(F25,$A$8:$AD$8,0)))</f>
        <v>MTV Eiche Schönebeck</v>
      </c>
      <c r="I25" s="45" t="s">
        <v>23</v>
      </c>
      <c r="J25" s="33">
        <v>2</v>
      </c>
      <c r="K25" s="44" t="str">
        <f ca="1" t="shared" si="1" ref="K25:K64">INDIRECT(ADDRESS(MATCH(J25,$A$1:$A$22,0),MATCH(F25,$A$8:$AD$8,0)))</f>
        <v>TV Sottrum</v>
      </c>
      <c r="L25" s="43" t="s">
        <v>15</v>
      </c>
      <c r="M25" s="33">
        <v>3</v>
      </c>
      <c r="N25" s="44" t="str">
        <f ca="1" t="shared" si="2" ref="N25:N64">INDIRECT(ADDRESS(MATCH(M25,$A$1:$A$22,0),MATCH(L25,$A$8:$AD$8,0)))</f>
        <v>TuS Meinerzhagen</v>
      </c>
      <c r="O25" s="46" t="s">
        <v>297</v>
      </c>
      <c r="P25" s="33">
        <v>29</v>
      </c>
      <c r="Q25" s="45" t="s">
        <v>22</v>
      </c>
      <c r="R25" s="33">
        <v>46</v>
      </c>
      <c r="S25" s="47">
        <f aca="true" t="shared" si="3" ref="S25:S56">IF(P25="","",IF(P25&gt;R25,2,IF(P25&lt;R25,0,1)))</f>
        <v>0</v>
      </c>
      <c r="T25" s="45" t="s">
        <v>22</v>
      </c>
      <c r="U25" s="48">
        <f aca="true" t="shared" si="4" ref="U25:U56">IF(R25="","",IF(R25&gt;P25,2,IF(R25&lt;P25,0,1)))</f>
        <v>2</v>
      </c>
      <c r="W25" s="45" t="s">
        <v>43</v>
      </c>
      <c r="X25" s="45" t="s">
        <v>43</v>
      </c>
      <c r="Z25" s="33" t="s">
        <v>270</v>
      </c>
      <c r="AA25" s="33" t="s">
        <v>19</v>
      </c>
    </row>
    <row r="26" spans="1:27" s="33" customFormat="1" ht="12.75" customHeight="1">
      <c r="A26" s="33" t="str">
        <f aca="true" t="shared" si="5" ref="A26:A89">F26&amp;TEXT(G26,"00")&amp;TEXT(J26,"00")</f>
        <v>w111112</v>
      </c>
      <c r="B26" s="61">
        <v>1</v>
      </c>
      <c r="D26" s="33">
        <f aca="true" t="shared" si="6" ref="D26:D64">+D25+1</f>
        <v>2</v>
      </c>
      <c r="E26" s="33">
        <v>2</v>
      </c>
      <c r="F26" s="43" t="s">
        <v>15</v>
      </c>
      <c r="G26" s="33">
        <v>11</v>
      </c>
      <c r="H26" s="44" t="str">
        <f ca="1" t="shared" si="0"/>
        <v>TV Mahndorf</v>
      </c>
      <c r="I26" s="45" t="s">
        <v>23</v>
      </c>
      <c r="J26" s="33">
        <v>12</v>
      </c>
      <c r="K26" s="44" t="str">
        <f ca="1" t="shared" si="1"/>
        <v>MTV Wohnste</v>
      </c>
      <c r="L26" s="43" t="s">
        <v>15</v>
      </c>
      <c r="M26" s="33">
        <v>13</v>
      </c>
      <c r="N26" s="44" t="str">
        <f ca="1" t="shared" si="2"/>
        <v>SV Weiler</v>
      </c>
      <c r="O26" s="46" t="s">
        <v>298</v>
      </c>
      <c r="P26" s="33">
        <v>28</v>
      </c>
      <c r="Q26" s="45" t="s">
        <v>22</v>
      </c>
      <c r="R26" s="33">
        <v>42</v>
      </c>
      <c r="S26" s="47">
        <f t="shared" si="3"/>
        <v>0</v>
      </c>
      <c r="T26" s="45" t="s">
        <v>22</v>
      </c>
      <c r="U26" s="48">
        <f t="shared" si="4"/>
        <v>2</v>
      </c>
      <c r="W26" s="45" t="s">
        <v>43</v>
      </c>
      <c r="X26" s="45" t="s">
        <v>43</v>
      </c>
      <c r="Z26" s="33" t="s">
        <v>270</v>
      </c>
      <c r="AA26" s="33" t="s">
        <v>19</v>
      </c>
    </row>
    <row r="27" spans="1:27" s="33" customFormat="1" ht="12.75" customHeight="1">
      <c r="A27" s="33" t="str">
        <f t="shared" si="5"/>
        <v>m110102</v>
      </c>
      <c r="B27" s="61">
        <v>1</v>
      </c>
      <c r="D27" s="33">
        <f t="shared" si="6"/>
        <v>3</v>
      </c>
      <c r="E27" s="33">
        <v>3</v>
      </c>
      <c r="F27" s="43" t="s">
        <v>16</v>
      </c>
      <c r="G27" s="33">
        <v>1</v>
      </c>
      <c r="H27" s="44" t="str">
        <f ca="1" t="shared" si="0"/>
        <v>TSV Ohorn</v>
      </c>
      <c r="I27" s="45" t="s">
        <v>23</v>
      </c>
      <c r="J27" s="33">
        <v>2</v>
      </c>
      <c r="K27" s="44" t="str">
        <f ca="1" t="shared" si="1"/>
        <v>MTV Eiche Schönebeck</v>
      </c>
      <c r="L27" s="43" t="s">
        <v>16</v>
      </c>
      <c r="M27" s="33">
        <v>3</v>
      </c>
      <c r="N27" s="44" t="str">
        <f ca="1" t="shared" si="2"/>
        <v>Kölner TB</v>
      </c>
      <c r="O27" s="46" t="s">
        <v>299</v>
      </c>
      <c r="P27" s="33">
        <v>29</v>
      </c>
      <c r="Q27" s="45" t="s">
        <v>22</v>
      </c>
      <c r="R27" s="33">
        <v>40</v>
      </c>
      <c r="S27" s="47">
        <f t="shared" si="3"/>
        <v>0</v>
      </c>
      <c r="T27" s="45" t="s">
        <v>22</v>
      </c>
      <c r="U27" s="48">
        <f t="shared" si="4"/>
        <v>2</v>
      </c>
      <c r="W27" s="45" t="s">
        <v>43</v>
      </c>
      <c r="X27" s="45" t="s">
        <v>43</v>
      </c>
      <c r="Z27" s="33" t="s">
        <v>271</v>
      </c>
      <c r="AA27" s="33" t="s">
        <v>19</v>
      </c>
    </row>
    <row r="28" spans="1:27" s="33" customFormat="1" ht="12.75" customHeight="1">
      <c r="A28" s="33" t="str">
        <f t="shared" si="5"/>
        <v>m111112</v>
      </c>
      <c r="B28" s="62">
        <v>1</v>
      </c>
      <c r="C28" s="49"/>
      <c r="D28" s="49">
        <f t="shared" si="6"/>
        <v>4</v>
      </c>
      <c r="E28" s="49">
        <v>4</v>
      </c>
      <c r="F28" s="50" t="s">
        <v>16</v>
      </c>
      <c r="G28" s="49">
        <v>11</v>
      </c>
      <c r="H28" s="51" t="str">
        <f ca="1" t="shared" si="0"/>
        <v>TSV Marienfelde</v>
      </c>
      <c r="I28" s="52" t="s">
        <v>23</v>
      </c>
      <c r="J28" s="49">
        <v>12</v>
      </c>
      <c r="K28" s="51" t="str">
        <f ca="1" t="shared" si="1"/>
        <v>SV Werder Bremen</v>
      </c>
      <c r="L28" s="50" t="s">
        <v>16</v>
      </c>
      <c r="M28" s="49">
        <v>13</v>
      </c>
      <c r="N28" s="51" t="str">
        <f ca="1" t="shared" si="2"/>
        <v>TV Reutin</v>
      </c>
      <c r="O28" s="53" t="s">
        <v>300</v>
      </c>
      <c r="P28" s="49">
        <v>27</v>
      </c>
      <c r="Q28" s="52" t="s">
        <v>22</v>
      </c>
      <c r="R28" s="49">
        <v>31</v>
      </c>
      <c r="S28" s="54">
        <f t="shared" si="3"/>
        <v>0</v>
      </c>
      <c r="T28" s="52" t="s">
        <v>22</v>
      </c>
      <c r="U28" s="55">
        <f t="shared" si="4"/>
        <v>2</v>
      </c>
      <c r="W28" s="52" t="s">
        <v>43</v>
      </c>
      <c r="X28" s="52" t="s">
        <v>43</v>
      </c>
      <c r="Z28" s="33" t="s">
        <v>271</v>
      </c>
      <c r="AA28" s="33" t="s">
        <v>19</v>
      </c>
    </row>
    <row r="29" spans="1:27" ht="12.75">
      <c r="A29" s="33" t="str">
        <f t="shared" si="5"/>
        <v>w110304</v>
      </c>
      <c r="B29" s="33">
        <f>+B25+1</f>
        <v>2</v>
      </c>
      <c r="C29" s="42">
        <f>+Daten!N6</f>
        <v>0.3923611111111111</v>
      </c>
      <c r="D29" s="33">
        <f t="shared" si="6"/>
        <v>5</v>
      </c>
      <c r="E29" s="33">
        <v>1</v>
      </c>
      <c r="F29" s="43" t="s">
        <v>15</v>
      </c>
      <c r="G29" s="33">
        <v>3</v>
      </c>
      <c r="H29" s="44" t="str">
        <f ca="1" t="shared" si="0"/>
        <v>TuS Meinerzhagen</v>
      </c>
      <c r="I29" s="45" t="s">
        <v>23</v>
      </c>
      <c r="J29" s="33">
        <v>4</v>
      </c>
      <c r="K29" s="44" t="str">
        <f ca="1" t="shared" si="1"/>
        <v>TV Winterhagen</v>
      </c>
      <c r="L29" s="43" t="s">
        <v>15</v>
      </c>
      <c r="M29" s="33">
        <v>5</v>
      </c>
      <c r="N29" s="44" t="str">
        <f ca="1" t="shared" si="2"/>
        <v>TV Rieschweiler</v>
      </c>
      <c r="O29" s="46" t="s">
        <v>301</v>
      </c>
      <c r="P29" s="33">
        <v>22</v>
      </c>
      <c r="Q29" s="45" t="s">
        <v>22</v>
      </c>
      <c r="R29" s="33">
        <v>49</v>
      </c>
      <c r="S29" s="47">
        <f t="shared" si="3"/>
        <v>0</v>
      </c>
      <c r="T29" s="45" t="s">
        <v>22</v>
      </c>
      <c r="U29" s="48">
        <f t="shared" si="4"/>
        <v>2</v>
      </c>
      <c r="W29" s="45" t="s">
        <v>43</v>
      </c>
      <c r="X29" s="45" t="s">
        <v>43</v>
      </c>
      <c r="Z29" s="33" t="s">
        <v>272</v>
      </c>
      <c r="AA29" s="33" t="s">
        <v>19</v>
      </c>
    </row>
    <row r="30" spans="1:27" ht="12.75">
      <c r="A30" s="33" t="str">
        <f t="shared" si="5"/>
        <v>w111314</v>
      </c>
      <c r="B30" s="61">
        <v>2</v>
      </c>
      <c r="C30" s="33"/>
      <c r="D30" s="33">
        <f t="shared" si="6"/>
        <v>6</v>
      </c>
      <c r="E30" s="33">
        <v>2</v>
      </c>
      <c r="F30" s="43" t="s">
        <v>15</v>
      </c>
      <c r="G30" s="33">
        <v>13</v>
      </c>
      <c r="H30" s="44" t="str">
        <f ca="1" t="shared" si="0"/>
        <v>SV Weiler</v>
      </c>
      <c r="I30" s="45" t="s">
        <v>23</v>
      </c>
      <c r="J30" s="33">
        <v>14</v>
      </c>
      <c r="K30" s="44" t="str">
        <f ca="1" t="shared" si="1"/>
        <v>SV Diepoldshofen</v>
      </c>
      <c r="L30" s="43" t="s">
        <v>15</v>
      </c>
      <c r="M30" s="33">
        <v>15</v>
      </c>
      <c r="N30" s="44" t="str">
        <f ca="1" t="shared" si="2"/>
        <v>TV Berkenbaum</v>
      </c>
      <c r="O30" s="46" t="s">
        <v>302</v>
      </c>
      <c r="P30" s="33">
        <v>37</v>
      </c>
      <c r="Q30" s="45" t="s">
        <v>22</v>
      </c>
      <c r="R30" s="33">
        <v>44</v>
      </c>
      <c r="S30" s="47">
        <f t="shared" si="3"/>
        <v>0</v>
      </c>
      <c r="T30" s="45" t="s">
        <v>22</v>
      </c>
      <c r="U30" s="48">
        <f t="shared" si="4"/>
        <v>2</v>
      </c>
      <c r="W30" s="45" t="s">
        <v>43</v>
      </c>
      <c r="X30" s="45" t="s">
        <v>43</v>
      </c>
      <c r="Z30" s="33" t="s">
        <v>272</v>
      </c>
      <c r="AA30" s="33" t="s">
        <v>19</v>
      </c>
    </row>
    <row r="31" spans="1:27" ht="12.75">
      <c r="A31" s="33" t="str">
        <f t="shared" si="5"/>
        <v>m110304</v>
      </c>
      <c r="B31" s="61">
        <v>2</v>
      </c>
      <c r="C31" s="33"/>
      <c r="D31" s="33">
        <f t="shared" si="6"/>
        <v>7</v>
      </c>
      <c r="E31" s="33">
        <v>3</v>
      </c>
      <c r="F31" s="43" t="s">
        <v>16</v>
      </c>
      <c r="G31" s="33">
        <v>3</v>
      </c>
      <c r="H31" s="44" t="str">
        <f ca="1" t="shared" si="0"/>
        <v>Kölner TB</v>
      </c>
      <c r="I31" s="45" t="s">
        <v>23</v>
      </c>
      <c r="J31" s="33">
        <v>4</v>
      </c>
      <c r="K31" s="44" t="str">
        <f ca="1" t="shared" si="1"/>
        <v>PV Gundernhausen</v>
      </c>
      <c r="L31" s="43" t="s">
        <v>16</v>
      </c>
      <c r="M31" s="33">
        <v>5</v>
      </c>
      <c r="N31" s="44" t="str">
        <f ca="1" t="shared" si="2"/>
        <v>VfL Waiblingen</v>
      </c>
      <c r="O31" s="46" t="s">
        <v>303</v>
      </c>
      <c r="P31" s="33">
        <v>22</v>
      </c>
      <c r="Q31" s="45" t="s">
        <v>22</v>
      </c>
      <c r="R31" s="33">
        <v>37</v>
      </c>
      <c r="S31" s="47">
        <f t="shared" si="3"/>
        <v>0</v>
      </c>
      <c r="T31" s="45" t="s">
        <v>22</v>
      </c>
      <c r="U31" s="48">
        <f t="shared" si="4"/>
        <v>2</v>
      </c>
      <c r="W31" s="45" t="s">
        <v>43</v>
      </c>
      <c r="X31" s="45" t="s">
        <v>43</v>
      </c>
      <c r="Z31" s="33" t="s">
        <v>273</v>
      </c>
      <c r="AA31" s="33" t="s">
        <v>19</v>
      </c>
    </row>
    <row r="32" spans="1:27" ht="12.75">
      <c r="A32" s="33" t="str">
        <f t="shared" si="5"/>
        <v>m111314</v>
      </c>
      <c r="B32" s="62">
        <v>2</v>
      </c>
      <c r="C32" s="49"/>
      <c r="D32" s="49">
        <f t="shared" si="6"/>
        <v>8</v>
      </c>
      <c r="E32" s="49">
        <v>4</v>
      </c>
      <c r="F32" s="50" t="s">
        <v>16</v>
      </c>
      <c r="G32" s="49">
        <v>13</v>
      </c>
      <c r="H32" s="51" t="str">
        <f ca="1" t="shared" si="0"/>
        <v>TV Reutin</v>
      </c>
      <c r="I32" s="52" t="s">
        <v>23</v>
      </c>
      <c r="J32" s="49">
        <v>14</v>
      </c>
      <c r="K32" s="51" t="str">
        <f ca="1" t="shared" si="1"/>
        <v>SV Weiler</v>
      </c>
      <c r="L32" s="50" t="s">
        <v>16</v>
      </c>
      <c r="M32" s="49">
        <v>15</v>
      </c>
      <c r="N32" s="51" t="str">
        <f ca="1" t="shared" si="2"/>
        <v>TV "Frisch Auf" Altenbochum</v>
      </c>
      <c r="O32" s="53" t="s">
        <v>304</v>
      </c>
      <c r="P32" s="49">
        <v>28</v>
      </c>
      <c r="Q32" s="52" t="s">
        <v>22</v>
      </c>
      <c r="R32" s="49">
        <v>36</v>
      </c>
      <c r="S32" s="54">
        <f t="shared" si="3"/>
        <v>0</v>
      </c>
      <c r="T32" s="52" t="s">
        <v>22</v>
      </c>
      <c r="U32" s="55">
        <f t="shared" si="4"/>
        <v>2</v>
      </c>
      <c r="W32" s="52" t="s">
        <v>43</v>
      </c>
      <c r="X32" s="52" t="s">
        <v>43</v>
      </c>
      <c r="Z32" s="33" t="s">
        <v>273</v>
      </c>
      <c r="AA32" s="33" t="s">
        <v>19</v>
      </c>
    </row>
    <row r="33" spans="1:27" ht="12.75" customHeight="1">
      <c r="A33" s="33" t="str">
        <f t="shared" si="5"/>
        <v>w110105</v>
      </c>
      <c r="B33" s="33">
        <f>+B29+1</f>
        <v>3</v>
      </c>
      <c r="C33" s="42">
        <f>+Daten!N7</f>
        <v>0.4097222222222222</v>
      </c>
      <c r="D33" s="33">
        <f t="shared" si="6"/>
        <v>9</v>
      </c>
      <c r="E33" s="33">
        <v>1</v>
      </c>
      <c r="F33" s="43" t="s">
        <v>15</v>
      </c>
      <c r="G33" s="33">
        <v>1</v>
      </c>
      <c r="H33" s="44" t="str">
        <f ca="1" t="shared" si="0"/>
        <v>MTV Eiche Schönebeck</v>
      </c>
      <c r="I33" s="45" t="s">
        <v>23</v>
      </c>
      <c r="J33" s="33">
        <v>5</v>
      </c>
      <c r="K33" s="44" t="str">
        <f ca="1" t="shared" si="1"/>
        <v>TV Rieschweiler</v>
      </c>
      <c r="L33" s="43" t="s">
        <v>15</v>
      </c>
      <c r="M33" s="33">
        <v>2</v>
      </c>
      <c r="N33" s="44" t="str">
        <f ca="1" t="shared" si="2"/>
        <v>TV Sottrum</v>
      </c>
      <c r="O33" s="46" t="s">
        <v>305</v>
      </c>
      <c r="P33" s="33">
        <v>33</v>
      </c>
      <c r="Q33" s="45" t="s">
        <v>22</v>
      </c>
      <c r="R33" s="33">
        <v>37</v>
      </c>
      <c r="S33" s="47">
        <f t="shared" si="3"/>
        <v>0</v>
      </c>
      <c r="T33" s="45" t="s">
        <v>22</v>
      </c>
      <c r="U33" s="48">
        <f t="shared" si="4"/>
        <v>2</v>
      </c>
      <c r="W33" s="45" t="s">
        <v>43</v>
      </c>
      <c r="X33" s="45" t="s">
        <v>43</v>
      </c>
      <c r="Z33" s="33" t="s">
        <v>274</v>
      </c>
      <c r="AA33" s="33" t="s">
        <v>19</v>
      </c>
    </row>
    <row r="34" spans="1:27" ht="12.75">
      <c r="A34" s="33" t="str">
        <f t="shared" si="5"/>
        <v>w111115</v>
      </c>
      <c r="B34" s="61">
        <v>3</v>
      </c>
      <c r="C34" s="33"/>
      <c r="D34" s="33">
        <f t="shared" si="6"/>
        <v>10</v>
      </c>
      <c r="E34" s="33">
        <v>2</v>
      </c>
      <c r="F34" s="43" t="s">
        <v>15</v>
      </c>
      <c r="G34" s="33">
        <v>11</v>
      </c>
      <c r="H34" s="44" t="str">
        <f ca="1" t="shared" si="0"/>
        <v>TV Mahndorf</v>
      </c>
      <c r="I34" s="45" t="s">
        <v>23</v>
      </c>
      <c r="J34" s="33">
        <v>15</v>
      </c>
      <c r="K34" s="44" t="str">
        <f ca="1" t="shared" si="1"/>
        <v>TV Berkenbaum</v>
      </c>
      <c r="L34" s="43" t="s">
        <v>15</v>
      </c>
      <c r="M34" s="33">
        <v>12</v>
      </c>
      <c r="N34" s="44" t="str">
        <f ca="1" t="shared" si="2"/>
        <v>MTV Wohnste</v>
      </c>
      <c r="O34" s="46" t="s">
        <v>306</v>
      </c>
      <c r="P34" s="33">
        <v>29</v>
      </c>
      <c r="Q34" s="45" t="s">
        <v>22</v>
      </c>
      <c r="R34" s="33">
        <v>37</v>
      </c>
      <c r="S34" s="47">
        <f t="shared" si="3"/>
        <v>0</v>
      </c>
      <c r="T34" s="45" t="s">
        <v>22</v>
      </c>
      <c r="U34" s="48">
        <f t="shared" si="4"/>
        <v>2</v>
      </c>
      <c r="W34" s="45" t="s">
        <v>43</v>
      </c>
      <c r="X34" s="45" t="s">
        <v>43</v>
      </c>
      <c r="Z34" s="33" t="s">
        <v>274</v>
      </c>
      <c r="AA34" s="33" t="s">
        <v>19</v>
      </c>
    </row>
    <row r="35" spans="1:27" ht="12.75">
      <c r="A35" s="33" t="str">
        <f t="shared" si="5"/>
        <v>m110105</v>
      </c>
      <c r="B35" s="61">
        <v>3</v>
      </c>
      <c r="C35" s="33"/>
      <c r="D35" s="33">
        <f t="shared" si="6"/>
        <v>11</v>
      </c>
      <c r="E35" s="33">
        <v>3</v>
      </c>
      <c r="F35" s="43" t="s">
        <v>16</v>
      </c>
      <c r="G35" s="33">
        <v>1</v>
      </c>
      <c r="H35" s="44" t="str">
        <f ca="1" t="shared" si="0"/>
        <v>TSV Ohorn</v>
      </c>
      <c r="I35" s="45" t="s">
        <v>23</v>
      </c>
      <c r="J35" s="33">
        <v>5</v>
      </c>
      <c r="K35" s="44" t="str">
        <f ca="1" t="shared" si="1"/>
        <v>VfL Waiblingen</v>
      </c>
      <c r="L35" s="43" t="s">
        <v>16</v>
      </c>
      <c r="M35" s="33">
        <v>2</v>
      </c>
      <c r="N35" s="44" t="str">
        <f ca="1" t="shared" si="2"/>
        <v>MTV Eiche Schönebeck</v>
      </c>
      <c r="O35" s="46" t="s">
        <v>307</v>
      </c>
      <c r="P35" s="33">
        <v>31</v>
      </c>
      <c r="Q35" s="45" t="s">
        <v>22</v>
      </c>
      <c r="R35" s="33">
        <v>43</v>
      </c>
      <c r="S35" s="47">
        <f t="shared" si="3"/>
        <v>0</v>
      </c>
      <c r="T35" s="45" t="s">
        <v>22</v>
      </c>
      <c r="U35" s="48">
        <f t="shared" si="4"/>
        <v>2</v>
      </c>
      <c r="W35" s="45" t="s">
        <v>43</v>
      </c>
      <c r="X35" s="45" t="s">
        <v>43</v>
      </c>
      <c r="Z35" s="33" t="s">
        <v>275</v>
      </c>
      <c r="AA35" s="33" t="s">
        <v>19</v>
      </c>
    </row>
    <row r="36" spans="1:27" ht="12.75">
      <c r="A36" s="33" t="str">
        <f t="shared" si="5"/>
        <v>m111115</v>
      </c>
      <c r="B36" s="62">
        <v>3</v>
      </c>
      <c r="C36" s="49"/>
      <c r="D36" s="49">
        <f t="shared" si="6"/>
        <v>12</v>
      </c>
      <c r="E36" s="49">
        <v>4</v>
      </c>
      <c r="F36" s="50" t="s">
        <v>16</v>
      </c>
      <c r="G36" s="49">
        <v>11</v>
      </c>
      <c r="H36" s="51" t="str">
        <f ca="1" t="shared" si="0"/>
        <v>TSV Marienfelde</v>
      </c>
      <c r="I36" s="52" t="s">
        <v>23</v>
      </c>
      <c r="J36" s="49">
        <v>15</v>
      </c>
      <c r="K36" s="51" t="str">
        <f ca="1" t="shared" si="1"/>
        <v>TV "Frisch Auf" Altenbochum</v>
      </c>
      <c r="L36" s="50" t="s">
        <v>16</v>
      </c>
      <c r="M36" s="49">
        <v>12</v>
      </c>
      <c r="N36" s="51" t="str">
        <f ca="1" t="shared" si="2"/>
        <v>SV Werder Bremen</v>
      </c>
      <c r="O36" s="53" t="s">
        <v>308</v>
      </c>
      <c r="P36" s="49">
        <v>35</v>
      </c>
      <c r="Q36" s="52" t="s">
        <v>22</v>
      </c>
      <c r="R36" s="49">
        <v>28</v>
      </c>
      <c r="S36" s="54">
        <f t="shared" si="3"/>
        <v>2</v>
      </c>
      <c r="T36" s="52" t="s">
        <v>22</v>
      </c>
      <c r="U36" s="55">
        <f t="shared" si="4"/>
        <v>0</v>
      </c>
      <c r="W36" s="52" t="s">
        <v>43</v>
      </c>
      <c r="X36" s="52" t="s">
        <v>43</v>
      </c>
      <c r="Z36" s="33" t="s">
        <v>275</v>
      </c>
      <c r="AA36" s="33" t="s">
        <v>19</v>
      </c>
    </row>
    <row r="37" spans="1:27" ht="12.75">
      <c r="A37" s="33" t="str">
        <f t="shared" si="5"/>
        <v>w110203</v>
      </c>
      <c r="B37" s="33">
        <f>+B33+1</f>
        <v>4</v>
      </c>
      <c r="C37" s="42">
        <f>+Daten!N8</f>
        <v>0.4270833333333333</v>
      </c>
      <c r="D37" s="33">
        <f t="shared" si="6"/>
        <v>13</v>
      </c>
      <c r="E37" s="33">
        <v>1</v>
      </c>
      <c r="F37" s="43" t="s">
        <v>15</v>
      </c>
      <c r="G37" s="33">
        <v>2</v>
      </c>
      <c r="H37" s="44" t="str">
        <f ca="1" t="shared" si="0"/>
        <v>TV Sottrum</v>
      </c>
      <c r="I37" s="45" t="s">
        <v>23</v>
      </c>
      <c r="J37" s="33">
        <v>3</v>
      </c>
      <c r="K37" s="44" t="str">
        <f ca="1" t="shared" si="1"/>
        <v>TuS Meinerzhagen</v>
      </c>
      <c r="L37" s="43" t="s">
        <v>15</v>
      </c>
      <c r="M37" s="33">
        <v>4</v>
      </c>
      <c r="N37" s="44" t="str">
        <f ca="1" t="shared" si="2"/>
        <v>TV Winterhagen</v>
      </c>
      <c r="O37" s="46" t="s">
        <v>309</v>
      </c>
      <c r="P37" s="33">
        <v>47</v>
      </c>
      <c r="Q37" s="45" t="s">
        <v>22</v>
      </c>
      <c r="R37" s="33">
        <v>22</v>
      </c>
      <c r="S37" s="47">
        <f t="shared" si="3"/>
        <v>2</v>
      </c>
      <c r="T37" s="45" t="s">
        <v>22</v>
      </c>
      <c r="U37" s="48">
        <f t="shared" si="4"/>
        <v>0</v>
      </c>
      <c r="W37" s="45" t="s">
        <v>43</v>
      </c>
      <c r="X37" s="45" t="s">
        <v>43</v>
      </c>
      <c r="Z37" s="33" t="s">
        <v>276</v>
      </c>
      <c r="AA37" s="33" t="s">
        <v>19</v>
      </c>
    </row>
    <row r="38" spans="1:27" ht="12.75">
      <c r="A38" s="33" t="str">
        <f t="shared" si="5"/>
        <v>w111213</v>
      </c>
      <c r="B38" s="61">
        <v>4</v>
      </c>
      <c r="C38" s="33"/>
      <c r="D38" s="33">
        <f t="shared" si="6"/>
        <v>14</v>
      </c>
      <c r="E38" s="33">
        <v>2</v>
      </c>
      <c r="F38" s="43" t="s">
        <v>15</v>
      </c>
      <c r="G38" s="33">
        <v>12</v>
      </c>
      <c r="H38" s="44" t="str">
        <f ca="1" t="shared" si="0"/>
        <v>MTV Wohnste</v>
      </c>
      <c r="I38" s="45" t="s">
        <v>23</v>
      </c>
      <c r="J38" s="33">
        <v>13</v>
      </c>
      <c r="K38" s="44" t="str">
        <f ca="1" t="shared" si="1"/>
        <v>SV Weiler</v>
      </c>
      <c r="L38" s="43" t="s">
        <v>15</v>
      </c>
      <c r="M38" s="33">
        <v>14</v>
      </c>
      <c r="N38" s="44" t="str">
        <f ca="1" t="shared" si="2"/>
        <v>SV Diepoldshofen</v>
      </c>
      <c r="O38" s="46" t="s">
        <v>310</v>
      </c>
      <c r="P38" s="33">
        <v>36</v>
      </c>
      <c r="Q38" s="45" t="s">
        <v>22</v>
      </c>
      <c r="R38" s="33">
        <v>30</v>
      </c>
      <c r="S38" s="47">
        <f t="shared" si="3"/>
        <v>2</v>
      </c>
      <c r="T38" s="45" t="s">
        <v>22</v>
      </c>
      <c r="U38" s="48">
        <f t="shared" si="4"/>
        <v>0</v>
      </c>
      <c r="W38" s="45" t="s">
        <v>43</v>
      </c>
      <c r="X38" s="45" t="s">
        <v>43</v>
      </c>
      <c r="Z38" s="33" t="s">
        <v>276</v>
      </c>
      <c r="AA38" s="33" t="s">
        <v>19</v>
      </c>
    </row>
    <row r="39" spans="1:27" ht="12.75">
      <c r="A39" s="33" t="str">
        <f t="shared" si="5"/>
        <v>m110203</v>
      </c>
      <c r="B39" s="61">
        <v>4</v>
      </c>
      <c r="C39" s="33"/>
      <c r="D39" s="33">
        <f t="shared" si="6"/>
        <v>15</v>
      </c>
      <c r="E39" s="33">
        <v>3</v>
      </c>
      <c r="F39" s="43" t="s">
        <v>16</v>
      </c>
      <c r="G39" s="33">
        <v>2</v>
      </c>
      <c r="H39" s="44" t="str">
        <f ca="1" t="shared" si="0"/>
        <v>MTV Eiche Schönebeck</v>
      </c>
      <c r="I39" s="45" t="s">
        <v>23</v>
      </c>
      <c r="J39" s="33">
        <v>3</v>
      </c>
      <c r="K39" s="44" t="str">
        <f ca="1" t="shared" si="1"/>
        <v>Kölner TB</v>
      </c>
      <c r="L39" s="43" t="s">
        <v>16</v>
      </c>
      <c r="M39" s="33">
        <v>4</v>
      </c>
      <c r="N39" s="44" t="str">
        <f ca="1" t="shared" si="2"/>
        <v>PV Gundernhausen</v>
      </c>
      <c r="O39" s="46" t="s">
        <v>311</v>
      </c>
      <c r="P39" s="33">
        <v>35</v>
      </c>
      <c r="Q39" s="45" t="s">
        <v>22</v>
      </c>
      <c r="R39" s="33">
        <v>23</v>
      </c>
      <c r="S39" s="47">
        <f t="shared" si="3"/>
        <v>2</v>
      </c>
      <c r="T39" s="45" t="s">
        <v>22</v>
      </c>
      <c r="U39" s="48">
        <f t="shared" si="4"/>
        <v>0</v>
      </c>
      <c r="W39" s="45" t="s">
        <v>43</v>
      </c>
      <c r="X39" s="45" t="s">
        <v>43</v>
      </c>
      <c r="Z39" s="33" t="s">
        <v>277</v>
      </c>
      <c r="AA39" s="33" t="s">
        <v>19</v>
      </c>
    </row>
    <row r="40" spans="1:27" ht="12.75">
      <c r="A40" s="33" t="str">
        <f t="shared" si="5"/>
        <v>m111213</v>
      </c>
      <c r="B40" s="62">
        <v>4</v>
      </c>
      <c r="C40" s="49"/>
      <c r="D40" s="49">
        <f t="shared" si="6"/>
        <v>16</v>
      </c>
      <c r="E40" s="49">
        <v>4</v>
      </c>
      <c r="F40" s="50" t="s">
        <v>16</v>
      </c>
      <c r="G40" s="49">
        <v>12</v>
      </c>
      <c r="H40" s="51" t="str">
        <f ca="1" t="shared" si="0"/>
        <v>SV Werder Bremen</v>
      </c>
      <c r="I40" s="52" t="s">
        <v>23</v>
      </c>
      <c r="J40" s="49">
        <v>13</v>
      </c>
      <c r="K40" s="51" t="str">
        <f ca="1" t="shared" si="1"/>
        <v>TV Reutin</v>
      </c>
      <c r="L40" s="50" t="s">
        <v>16</v>
      </c>
      <c r="M40" s="49">
        <v>14</v>
      </c>
      <c r="N40" s="51" t="str">
        <f ca="1" t="shared" si="2"/>
        <v>SV Weiler</v>
      </c>
      <c r="O40" s="53" t="s">
        <v>312</v>
      </c>
      <c r="P40" s="49">
        <v>31</v>
      </c>
      <c r="Q40" s="52" t="s">
        <v>22</v>
      </c>
      <c r="R40" s="49">
        <v>44</v>
      </c>
      <c r="S40" s="54">
        <f t="shared" si="3"/>
        <v>0</v>
      </c>
      <c r="T40" s="52" t="s">
        <v>22</v>
      </c>
      <c r="U40" s="55">
        <f t="shared" si="4"/>
        <v>2</v>
      </c>
      <c r="W40" s="52" t="s">
        <v>43</v>
      </c>
      <c r="X40" s="52" t="s">
        <v>43</v>
      </c>
      <c r="Z40" s="33" t="s">
        <v>277</v>
      </c>
      <c r="AA40" s="33" t="s">
        <v>19</v>
      </c>
    </row>
    <row r="41" spans="1:27" ht="12.75">
      <c r="A41" s="33" t="str">
        <f t="shared" si="5"/>
        <v>w110405</v>
      </c>
      <c r="B41" s="33">
        <f>+B37+1</f>
        <v>5</v>
      </c>
      <c r="C41" s="42">
        <f>+Daten!N9</f>
        <v>0.4444444444444444</v>
      </c>
      <c r="D41" s="33">
        <f t="shared" si="6"/>
        <v>17</v>
      </c>
      <c r="E41" s="33">
        <v>1</v>
      </c>
      <c r="F41" s="43" t="s">
        <v>15</v>
      </c>
      <c r="G41" s="33">
        <v>4</v>
      </c>
      <c r="H41" s="44" t="str">
        <f ca="1" t="shared" si="0"/>
        <v>TV Winterhagen</v>
      </c>
      <c r="I41" s="45" t="s">
        <v>23</v>
      </c>
      <c r="J41" s="33">
        <v>5</v>
      </c>
      <c r="K41" s="44" t="str">
        <f ca="1" t="shared" si="1"/>
        <v>TV Rieschweiler</v>
      </c>
      <c r="L41" s="43" t="s">
        <v>15</v>
      </c>
      <c r="M41" s="33">
        <v>1</v>
      </c>
      <c r="N41" s="44" t="str">
        <f ca="1" t="shared" si="2"/>
        <v>MTV Eiche Schönebeck</v>
      </c>
      <c r="O41" s="46" t="s">
        <v>313</v>
      </c>
      <c r="P41" s="33">
        <v>46</v>
      </c>
      <c r="Q41" s="45" t="s">
        <v>22</v>
      </c>
      <c r="R41" s="33">
        <v>21</v>
      </c>
      <c r="S41" s="47">
        <f t="shared" si="3"/>
        <v>2</v>
      </c>
      <c r="T41" s="45" t="s">
        <v>22</v>
      </c>
      <c r="U41" s="48">
        <f t="shared" si="4"/>
        <v>0</v>
      </c>
      <c r="W41" s="45" t="s">
        <v>43</v>
      </c>
      <c r="X41" s="45" t="s">
        <v>43</v>
      </c>
      <c r="Z41" s="33" t="s">
        <v>278</v>
      </c>
      <c r="AA41" s="33" t="s">
        <v>19</v>
      </c>
    </row>
    <row r="42" spans="1:27" ht="12.75">
      <c r="A42" s="33" t="str">
        <f t="shared" si="5"/>
        <v>w111415</v>
      </c>
      <c r="B42" s="61">
        <v>5</v>
      </c>
      <c r="C42" s="33"/>
      <c r="D42" s="33">
        <f t="shared" si="6"/>
        <v>18</v>
      </c>
      <c r="E42" s="33">
        <v>2</v>
      </c>
      <c r="F42" s="43" t="s">
        <v>15</v>
      </c>
      <c r="G42" s="33">
        <v>14</v>
      </c>
      <c r="H42" s="44" t="str">
        <f ca="1" t="shared" si="0"/>
        <v>SV Diepoldshofen</v>
      </c>
      <c r="I42" s="45" t="s">
        <v>23</v>
      </c>
      <c r="J42" s="33">
        <v>15</v>
      </c>
      <c r="K42" s="44" t="str">
        <f ca="1" t="shared" si="1"/>
        <v>TV Berkenbaum</v>
      </c>
      <c r="L42" s="43" t="s">
        <v>15</v>
      </c>
      <c r="M42" s="33">
        <v>11</v>
      </c>
      <c r="N42" s="44" t="str">
        <f ca="1" t="shared" si="2"/>
        <v>TV Mahndorf</v>
      </c>
      <c r="O42" s="46" t="s">
        <v>314</v>
      </c>
      <c r="P42" s="33">
        <v>42</v>
      </c>
      <c r="Q42" s="45" t="s">
        <v>22</v>
      </c>
      <c r="R42" s="33">
        <v>28</v>
      </c>
      <c r="S42" s="47">
        <f t="shared" si="3"/>
        <v>2</v>
      </c>
      <c r="T42" s="45" t="s">
        <v>22</v>
      </c>
      <c r="U42" s="48">
        <f t="shared" si="4"/>
        <v>0</v>
      </c>
      <c r="W42" s="45" t="s">
        <v>43</v>
      </c>
      <c r="X42" s="45" t="s">
        <v>43</v>
      </c>
      <c r="Z42" s="33" t="s">
        <v>278</v>
      </c>
      <c r="AA42" s="33" t="s">
        <v>19</v>
      </c>
    </row>
    <row r="43" spans="1:27" ht="12.75">
      <c r="A43" s="33" t="str">
        <f t="shared" si="5"/>
        <v>m110405</v>
      </c>
      <c r="B43" s="61">
        <v>5</v>
      </c>
      <c r="C43" s="33"/>
      <c r="D43" s="33">
        <f t="shared" si="6"/>
        <v>19</v>
      </c>
      <c r="E43" s="33">
        <v>3</v>
      </c>
      <c r="F43" s="43" t="s">
        <v>16</v>
      </c>
      <c r="G43" s="33">
        <v>4</v>
      </c>
      <c r="H43" s="44" t="str">
        <f ca="1" t="shared" si="0"/>
        <v>PV Gundernhausen</v>
      </c>
      <c r="I43" s="45" t="s">
        <v>23</v>
      </c>
      <c r="J43" s="33">
        <v>5</v>
      </c>
      <c r="K43" s="44" t="str">
        <f ca="1" t="shared" si="1"/>
        <v>VfL Waiblingen</v>
      </c>
      <c r="L43" s="43" t="s">
        <v>16</v>
      </c>
      <c r="M43" s="33">
        <v>1</v>
      </c>
      <c r="N43" s="44" t="str">
        <f ca="1" t="shared" si="2"/>
        <v>TSV Ohorn</v>
      </c>
      <c r="O43" s="46" t="s">
        <v>315</v>
      </c>
      <c r="P43" s="33">
        <v>35</v>
      </c>
      <c r="Q43" s="45" t="s">
        <v>22</v>
      </c>
      <c r="R43" s="33">
        <v>34</v>
      </c>
      <c r="S43" s="47">
        <f t="shared" si="3"/>
        <v>2</v>
      </c>
      <c r="T43" s="45" t="s">
        <v>22</v>
      </c>
      <c r="U43" s="48">
        <f t="shared" si="4"/>
        <v>0</v>
      </c>
      <c r="W43" s="45" t="s">
        <v>43</v>
      </c>
      <c r="X43" s="45" t="s">
        <v>43</v>
      </c>
      <c r="Z43" s="33" t="s">
        <v>279</v>
      </c>
      <c r="AA43" s="33" t="s">
        <v>19</v>
      </c>
    </row>
    <row r="44" spans="1:27" ht="12.75">
      <c r="A44" s="33" t="str">
        <f t="shared" si="5"/>
        <v>m111415</v>
      </c>
      <c r="B44" s="62">
        <v>5</v>
      </c>
      <c r="C44" s="49"/>
      <c r="D44" s="49">
        <f t="shared" si="6"/>
        <v>20</v>
      </c>
      <c r="E44" s="49">
        <v>4</v>
      </c>
      <c r="F44" s="50" t="s">
        <v>16</v>
      </c>
      <c r="G44" s="49">
        <v>14</v>
      </c>
      <c r="H44" s="51" t="str">
        <f ca="1" t="shared" si="0"/>
        <v>SV Weiler</v>
      </c>
      <c r="I44" s="52" t="s">
        <v>23</v>
      </c>
      <c r="J44" s="49">
        <v>15</v>
      </c>
      <c r="K44" s="51" t="str">
        <f ca="1" t="shared" si="1"/>
        <v>TV "Frisch Auf" Altenbochum</v>
      </c>
      <c r="L44" s="50" t="s">
        <v>16</v>
      </c>
      <c r="M44" s="49">
        <v>11</v>
      </c>
      <c r="N44" s="51" t="str">
        <f ca="1" t="shared" si="2"/>
        <v>TSV Marienfelde</v>
      </c>
      <c r="O44" s="53" t="s">
        <v>316</v>
      </c>
      <c r="P44" s="49">
        <v>44</v>
      </c>
      <c r="Q44" s="52" t="s">
        <v>22</v>
      </c>
      <c r="R44" s="49">
        <v>17</v>
      </c>
      <c r="S44" s="54">
        <f t="shared" si="3"/>
        <v>2</v>
      </c>
      <c r="T44" s="52" t="s">
        <v>22</v>
      </c>
      <c r="U44" s="55">
        <f t="shared" si="4"/>
        <v>0</v>
      </c>
      <c r="W44" s="52" t="s">
        <v>43</v>
      </c>
      <c r="X44" s="52" t="s">
        <v>43</v>
      </c>
      <c r="Z44" s="33" t="s">
        <v>279</v>
      </c>
      <c r="AA44" s="33" t="s">
        <v>19</v>
      </c>
    </row>
    <row r="45" spans="1:27" ht="12.75">
      <c r="A45" s="33" t="str">
        <f t="shared" si="5"/>
        <v>w110103</v>
      </c>
      <c r="B45" s="33">
        <f>+B41+1</f>
        <v>6</v>
      </c>
      <c r="C45" s="42">
        <f>+Daten!N10</f>
        <v>0.4618055555555555</v>
      </c>
      <c r="D45" s="33">
        <f t="shared" si="6"/>
        <v>21</v>
      </c>
      <c r="E45" s="33">
        <v>1</v>
      </c>
      <c r="F45" s="43" t="s">
        <v>15</v>
      </c>
      <c r="G45" s="33">
        <v>1</v>
      </c>
      <c r="H45" s="44" t="str">
        <f ca="1" t="shared" si="0"/>
        <v>MTV Eiche Schönebeck</v>
      </c>
      <c r="I45" s="45" t="s">
        <v>23</v>
      </c>
      <c r="J45" s="33">
        <v>3</v>
      </c>
      <c r="K45" s="44" t="str">
        <f ca="1" t="shared" si="1"/>
        <v>TuS Meinerzhagen</v>
      </c>
      <c r="L45" s="43" t="s">
        <v>15</v>
      </c>
      <c r="M45" s="33">
        <v>2</v>
      </c>
      <c r="N45" s="44" t="str">
        <f ca="1" t="shared" si="2"/>
        <v>TV Sottrum</v>
      </c>
      <c r="O45" s="46" t="s">
        <v>317</v>
      </c>
      <c r="P45" s="33">
        <v>42</v>
      </c>
      <c r="Q45" s="45" t="s">
        <v>22</v>
      </c>
      <c r="R45" s="33">
        <v>35</v>
      </c>
      <c r="S45" s="47">
        <f t="shared" si="3"/>
        <v>2</v>
      </c>
      <c r="T45" s="45" t="s">
        <v>22</v>
      </c>
      <c r="U45" s="48">
        <f t="shared" si="4"/>
        <v>0</v>
      </c>
      <c r="W45" s="45" t="s">
        <v>43</v>
      </c>
      <c r="X45" s="45" t="s">
        <v>43</v>
      </c>
      <c r="Z45" s="33" t="s">
        <v>280</v>
      </c>
      <c r="AA45" s="33" t="s">
        <v>19</v>
      </c>
    </row>
    <row r="46" spans="1:27" ht="12.75">
      <c r="A46" s="33" t="str">
        <f t="shared" si="5"/>
        <v>w111113</v>
      </c>
      <c r="B46" s="61">
        <v>6</v>
      </c>
      <c r="C46" s="33"/>
      <c r="D46" s="33">
        <f t="shared" si="6"/>
        <v>22</v>
      </c>
      <c r="E46" s="33">
        <v>2</v>
      </c>
      <c r="F46" s="43" t="s">
        <v>15</v>
      </c>
      <c r="G46" s="33">
        <v>11</v>
      </c>
      <c r="H46" s="44" t="str">
        <f ca="1" t="shared" si="0"/>
        <v>TV Mahndorf</v>
      </c>
      <c r="I46" s="45" t="s">
        <v>23</v>
      </c>
      <c r="J46" s="33">
        <v>13</v>
      </c>
      <c r="K46" s="44" t="str">
        <f ca="1" t="shared" si="1"/>
        <v>SV Weiler</v>
      </c>
      <c r="L46" s="43" t="s">
        <v>15</v>
      </c>
      <c r="M46" s="33">
        <v>12</v>
      </c>
      <c r="N46" s="44" t="str">
        <f ca="1" t="shared" si="2"/>
        <v>MTV Wohnste</v>
      </c>
      <c r="O46" s="46" t="s">
        <v>318</v>
      </c>
      <c r="P46" s="33">
        <v>31</v>
      </c>
      <c r="Q46" s="45" t="s">
        <v>22</v>
      </c>
      <c r="R46" s="33">
        <v>37</v>
      </c>
      <c r="S46" s="47">
        <f t="shared" si="3"/>
        <v>0</v>
      </c>
      <c r="T46" s="45" t="s">
        <v>22</v>
      </c>
      <c r="U46" s="48">
        <f t="shared" si="4"/>
        <v>2</v>
      </c>
      <c r="W46" s="45" t="s">
        <v>43</v>
      </c>
      <c r="X46" s="45" t="s">
        <v>43</v>
      </c>
      <c r="Z46" s="33" t="s">
        <v>280</v>
      </c>
      <c r="AA46" s="33" t="s">
        <v>19</v>
      </c>
    </row>
    <row r="47" spans="1:27" ht="12.75">
      <c r="A47" s="33" t="str">
        <f t="shared" si="5"/>
        <v>m110103</v>
      </c>
      <c r="B47" s="61">
        <v>6</v>
      </c>
      <c r="C47" s="33"/>
      <c r="D47" s="33">
        <f t="shared" si="6"/>
        <v>23</v>
      </c>
      <c r="E47" s="33">
        <v>3</v>
      </c>
      <c r="F47" s="43" t="s">
        <v>16</v>
      </c>
      <c r="G47" s="33">
        <v>1</v>
      </c>
      <c r="H47" s="44" t="str">
        <f ca="1" t="shared" si="0"/>
        <v>TSV Ohorn</v>
      </c>
      <c r="I47" s="45" t="s">
        <v>23</v>
      </c>
      <c r="J47" s="33">
        <v>3</v>
      </c>
      <c r="K47" s="44" t="str">
        <f ca="1" t="shared" si="1"/>
        <v>Kölner TB</v>
      </c>
      <c r="L47" s="43" t="s">
        <v>16</v>
      </c>
      <c r="M47" s="33">
        <v>2</v>
      </c>
      <c r="N47" s="44" t="str">
        <f ca="1" t="shared" si="2"/>
        <v>MTV Eiche Schönebeck</v>
      </c>
      <c r="O47" s="46" t="s">
        <v>319</v>
      </c>
      <c r="P47" s="33">
        <v>36</v>
      </c>
      <c r="Q47" s="45" t="s">
        <v>22</v>
      </c>
      <c r="R47" s="33">
        <v>23</v>
      </c>
      <c r="S47" s="47">
        <f t="shared" si="3"/>
        <v>2</v>
      </c>
      <c r="T47" s="45" t="s">
        <v>22</v>
      </c>
      <c r="U47" s="48">
        <f t="shared" si="4"/>
        <v>0</v>
      </c>
      <c r="W47" s="45" t="s">
        <v>43</v>
      </c>
      <c r="X47" s="45" t="s">
        <v>43</v>
      </c>
      <c r="Z47" s="33" t="s">
        <v>281</v>
      </c>
      <c r="AA47" s="33" t="s">
        <v>19</v>
      </c>
    </row>
    <row r="48" spans="1:27" ht="12.75">
      <c r="A48" s="33" t="str">
        <f t="shared" si="5"/>
        <v>m111113</v>
      </c>
      <c r="B48" s="62">
        <v>6</v>
      </c>
      <c r="C48" s="49"/>
      <c r="D48" s="49">
        <f t="shared" si="6"/>
        <v>24</v>
      </c>
      <c r="E48" s="49">
        <v>4</v>
      </c>
      <c r="F48" s="50" t="s">
        <v>16</v>
      </c>
      <c r="G48" s="49">
        <v>11</v>
      </c>
      <c r="H48" s="51" t="str">
        <f ca="1" t="shared" si="0"/>
        <v>TSV Marienfelde</v>
      </c>
      <c r="I48" s="52" t="s">
        <v>23</v>
      </c>
      <c r="J48" s="49">
        <v>13</v>
      </c>
      <c r="K48" s="51" t="str">
        <f ca="1" t="shared" si="1"/>
        <v>TV Reutin</v>
      </c>
      <c r="L48" s="50" t="s">
        <v>16</v>
      </c>
      <c r="M48" s="49">
        <v>12</v>
      </c>
      <c r="N48" s="51" t="str">
        <f ca="1" t="shared" si="2"/>
        <v>SV Werder Bremen</v>
      </c>
      <c r="O48" s="53" t="s">
        <v>320</v>
      </c>
      <c r="P48" s="49">
        <v>26</v>
      </c>
      <c r="Q48" s="52" t="s">
        <v>22</v>
      </c>
      <c r="R48" s="49">
        <v>37</v>
      </c>
      <c r="S48" s="54">
        <f t="shared" si="3"/>
        <v>0</v>
      </c>
      <c r="T48" s="52" t="s">
        <v>22</v>
      </c>
      <c r="U48" s="55">
        <f t="shared" si="4"/>
        <v>2</v>
      </c>
      <c r="W48" s="52" t="s">
        <v>43</v>
      </c>
      <c r="X48" s="52" t="s">
        <v>43</v>
      </c>
      <c r="Z48" s="33" t="s">
        <v>281</v>
      </c>
      <c r="AA48" s="33" t="s">
        <v>19</v>
      </c>
    </row>
    <row r="49" spans="1:27" ht="12.75">
      <c r="A49" s="33" t="str">
        <f t="shared" si="5"/>
        <v>w110204</v>
      </c>
      <c r="B49" s="33">
        <f>+B45+1</f>
        <v>7</v>
      </c>
      <c r="C49" s="42">
        <f>+Daten!N11</f>
        <v>0.47916666666666663</v>
      </c>
      <c r="D49" s="33">
        <f t="shared" si="6"/>
        <v>25</v>
      </c>
      <c r="E49" s="33">
        <v>1</v>
      </c>
      <c r="F49" s="43" t="s">
        <v>15</v>
      </c>
      <c r="G49" s="33">
        <v>2</v>
      </c>
      <c r="H49" s="44" t="str">
        <f ca="1" t="shared" si="0"/>
        <v>TV Sottrum</v>
      </c>
      <c r="I49" s="45" t="s">
        <v>23</v>
      </c>
      <c r="J49" s="33">
        <v>4</v>
      </c>
      <c r="K49" s="44" t="str">
        <f ca="1" t="shared" si="1"/>
        <v>TV Winterhagen</v>
      </c>
      <c r="L49" s="43" t="s">
        <v>15</v>
      </c>
      <c r="M49" s="33">
        <v>5</v>
      </c>
      <c r="N49" s="44" t="str">
        <f ca="1" t="shared" si="2"/>
        <v>TV Rieschweiler</v>
      </c>
      <c r="O49" s="46" t="s">
        <v>315</v>
      </c>
      <c r="P49" s="33">
        <v>35</v>
      </c>
      <c r="Q49" s="45" t="s">
        <v>22</v>
      </c>
      <c r="R49" s="33">
        <v>36</v>
      </c>
      <c r="S49" s="47">
        <f t="shared" si="3"/>
        <v>0</v>
      </c>
      <c r="T49" s="45" t="s">
        <v>22</v>
      </c>
      <c r="U49" s="48">
        <f t="shared" si="4"/>
        <v>2</v>
      </c>
      <c r="W49" s="45" t="s">
        <v>43</v>
      </c>
      <c r="X49" s="45" t="s">
        <v>43</v>
      </c>
      <c r="Z49" s="33" t="s">
        <v>282</v>
      </c>
      <c r="AA49" s="33" t="s">
        <v>19</v>
      </c>
    </row>
    <row r="50" spans="1:27" ht="12.75">
      <c r="A50" s="33" t="str">
        <f t="shared" si="5"/>
        <v>w111214</v>
      </c>
      <c r="B50" s="61">
        <v>7</v>
      </c>
      <c r="C50" s="33"/>
      <c r="D50" s="33">
        <f t="shared" si="6"/>
        <v>26</v>
      </c>
      <c r="E50" s="33">
        <v>2</v>
      </c>
      <c r="F50" s="43" t="s">
        <v>15</v>
      </c>
      <c r="G50" s="33">
        <v>12</v>
      </c>
      <c r="H50" s="44" t="str">
        <f ca="1" t="shared" si="0"/>
        <v>MTV Wohnste</v>
      </c>
      <c r="I50" s="45" t="s">
        <v>23</v>
      </c>
      <c r="J50" s="33">
        <v>14</v>
      </c>
      <c r="K50" s="44" t="str">
        <f ca="1" t="shared" si="1"/>
        <v>SV Diepoldshofen</v>
      </c>
      <c r="L50" s="43" t="s">
        <v>15</v>
      </c>
      <c r="M50" s="33">
        <v>15</v>
      </c>
      <c r="N50" s="44" t="str">
        <f ca="1" t="shared" si="2"/>
        <v>TV Berkenbaum</v>
      </c>
      <c r="O50" s="46" t="s">
        <v>321</v>
      </c>
      <c r="P50" s="33">
        <v>39</v>
      </c>
      <c r="Q50" s="45" t="s">
        <v>22</v>
      </c>
      <c r="R50" s="33">
        <v>36</v>
      </c>
      <c r="S50" s="47">
        <f t="shared" si="3"/>
        <v>2</v>
      </c>
      <c r="T50" s="45" t="s">
        <v>22</v>
      </c>
      <c r="U50" s="48">
        <f t="shared" si="4"/>
        <v>0</v>
      </c>
      <c r="W50" s="45" t="s">
        <v>43</v>
      </c>
      <c r="X50" s="45" t="s">
        <v>43</v>
      </c>
      <c r="Z50" s="33" t="s">
        <v>282</v>
      </c>
      <c r="AA50" s="33" t="s">
        <v>19</v>
      </c>
    </row>
    <row r="51" spans="1:27" ht="12.75">
      <c r="A51" s="33" t="str">
        <f t="shared" si="5"/>
        <v>m110204</v>
      </c>
      <c r="B51" s="61">
        <v>7</v>
      </c>
      <c r="C51" s="33"/>
      <c r="D51" s="33">
        <f t="shared" si="6"/>
        <v>27</v>
      </c>
      <c r="E51" s="33">
        <v>3</v>
      </c>
      <c r="F51" s="43" t="s">
        <v>16</v>
      </c>
      <c r="G51" s="33">
        <v>2</v>
      </c>
      <c r="H51" s="44" t="str">
        <f ca="1" t="shared" si="0"/>
        <v>MTV Eiche Schönebeck</v>
      </c>
      <c r="I51" s="45" t="s">
        <v>23</v>
      </c>
      <c r="J51" s="33">
        <v>4</v>
      </c>
      <c r="K51" s="44" t="str">
        <f ca="1" t="shared" si="1"/>
        <v>PV Gundernhausen</v>
      </c>
      <c r="L51" s="43" t="s">
        <v>16</v>
      </c>
      <c r="M51" s="33">
        <v>5</v>
      </c>
      <c r="N51" s="44" t="str">
        <f ca="1" t="shared" si="2"/>
        <v>VfL Waiblingen</v>
      </c>
      <c r="O51" s="46" t="s">
        <v>304</v>
      </c>
      <c r="P51" s="33">
        <v>33</v>
      </c>
      <c r="Q51" s="45" t="s">
        <v>22</v>
      </c>
      <c r="R51" s="33">
        <v>32</v>
      </c>
      <c r="S51" s="47">
        <f t="shared" si="3"/>
        <v>2</v>
      </c>
      <c r="T51" s="45" t="s">
        <v>22</v>
      </c>
      <c r="U51" s="48">
        <f t="shared" si="4"/>
        <v>0</v>
      </c>
      <c r="W51" s="45" t="s">
        <v>43</v>
      </c>
      <c r="X51" s="45" t="s">
        <v>43</v>
      </c>
      <c r="Z51" s="33" t="s">
        <v>283</v>
      </c>
      <c r="AA51" s="33" t="s">
        <v>19</v>
      </c>
    </row>
    <row r="52" spans="1:27" ht="12.75">
      <c r="A52" s="33" t="str">
        <f t="shared" si="5"/>
        <v>m111214</v>
      </c>
      <c r="B52" s="62">
        <v>7</v>
      </c>
      <c r="C52" s="49"/>
      <c r="D52" s="49">
        <f t="shared" si="6"/>
        <v>28</v>
      </c>
      <c r="E52" s="49">
        <v>4</v>
      </c>
      <c r="F52" s="50" t="s">
        <v>16</v>
      </c>
      <c r="G52" s="49">
        <v>12</v>
      </c>
      <c r="H52" s="51" t="str">
        <f ca="1" t="shared" si="0"/>
        <v>SV Werder Bremen</v>
      </c>
      <c r="I52" s="52" t="s">
        <v>23</v>
      </c>
      <c r="J52" s="49">
        <v>14</v>
      </c>
      <c r="K52" s="51" t="str">
        <f ca="1" t="shared" si="1"/>
        <v>SV Weiler</v>
      </c>
      <c r="L52" s="50" t="s">
        <v>16</v>
      </c>
      <c r="M52" s="49">
        <v>15</v>
      </c>
      <c r="N52" s="51" t="str">
        <f ca="1" t="shared" si="2"/>
        <v>TV "Frisch Auf" Altenbochum</v>
      </c>
      <c r="O52" s="53" t="s">
        <v>322</v>
      </c>
      <c r="P52" s="49">
        <v>22</v>
      </c>
      <c r="Q52" s="52" t="s">
        <v>22</v>
      </c>
      <c r="R52" s="49">
        <v>37</v>
      </c>
      <c r="S52" s="54">
        <f t="shared" si="3"/>
        <v>0</v>
      </c>
      <c r="T52" s="52" t="s">
        <v>22</v>
      </c>
      <c r="U52" s="55">
        <f t="shared" si="4"/>
        <v>2</v>
      </c>
      <c r="W52" s="52" t="s">
        <v>43</v>
      </c>
      <c r="X52" s="52" t="s">
        <v>43</v>
      </c>
      <c r="Z52" s="33" t="s">
        <v>283</v>
      </c>
      <c r="AA52" s="33" t="s">
        <v>19</v>
      </c>
    </row>
    <row r="53" spans="1:27" ht="12.75">
      <c r="A53" s="33" t="str">
        <f t="shared" si="5"/>
        <v>w110305</v>
      </c>
      <c r="B53" s="33">
        <f>+B49+1</f>
        <v>8</v>
      </c>
      <c r="C53" s="42">
        <f>+Daten!N12</f>
        <v>0.49652777777777773</v>
      </c>
      <c r="D53" s="33">
        <f t="shared" si="6"/>
        <v>29</v>
      </c>
      <c r="E53" s="33">
        <v>1</v>
      </c>
      <c r="F53" s="43" t="s">
        <v>15</v>
      </c>
      <c r="G53" s="33">
        <v>3</v>
      </c>
      <c r="H53" s="44" t="str">
        <f ca="1" t="shared" si="0"/>
        <v>TuS Meinerzhagen</v>
      </c>
      <c r="I53" s="45" t="s">
        <v>23</v>
      </c>
      <c r="J53" s="33">
        <v>5</v>
      </c>
      <c r="K53" s="44" t="str">
        <f ca="1" t="shared" si="1"/>
        <v>TV Rieschweiler</v>
      </c>
      <c r="L53" s="43" t="s">
        <v>15</v>
      </c>
      <c r="M53" s="33">
        <v>1</v>
      </c>
      <c r="N53" s="44" t="str">
        <f ca="1" t="shared" si="2"/>
        <v>MTV Eiche Schönebeck</v>
      </c>
      <c r="O53" s="46" t="s">
        <v>323</v>
      </c>
      <c r="P53" s="33">
        <v>27</v>
      </c>
      <c r="Q53" s="45" t="s">
        <v>22</v>
      </c>
      <c r="R53" s="33">
        <v>34</v>
      </c>
      <c r="S53" s="47">
        <f t="shared" si="3"/>
        <v>0</v>
      </c>
      <c r="T53" s="45" t="s">
        <v>22</v>
      </c>
      <c r="U53" s="48">
        <f t="shared" si="4"/>
        <v>2</v>
      </c>
      <c r="W53" s="45" t="s">
        <v>43</v>
      </c>
      <c r="X53" s="45" t="s">
        <v>43</v>
      </c>
      <c r="Z53" s="33" t="s">
        <v>284</v>
      </c>
      <c r="AA53" s="33" t="s">
        <v>19</v>
      </c>
    </row>
    <row r="54" spans="1:27" ht="12.75">
      <c r="A54" s="33" t="str">
        <f t="shared" si="5"/>
        <v>w111315</v>
      </c>
      <c r="B54" s="61">
        <v>8</v>
      </c>
      <c r="C54" s="33"/>
      <c r="D54" s="33">
        <f t="shared" si="6"/>
        <v>30</v>
      </c>
      <c r="E54" s="33">
        <v>2</v>
      </c>
      <c r="F54" s="43" t="s">
        <v>15</v>
      </c>
      <c r="G54" s="33">
        <v>13</v>
      </c>
      <c r="H54" s="44" t="str">
        <f ca="1" t="shared" si="0"/>
        <v>SV Weiler</v>
      </c>
      <c r="I54" s="45" t="s">
        <v>23</v>
      </c>
      <c r="J54" s="33">
        <v>15</v>
      </c>
      <c r="K54" s="44" t="str">
        <f ca="1" t="shared" si="1"/>
        <v>TV Berkenbaum</v>
      </c>
      <c r="L54" s="43" t="s">
        <v>15</v>
      </c>
      <c r="M54" s="33">
        <v>11</v>
      </c>
      <c r="N54" s="44" t="str">
        <f ca="1" t="shared" si="2"/>
        <v>TV Mahndorf</v>
      </c>
      <c r="O54" s="46" t="s">
        <v>324</v>
      </c>
      <c r="P54" s="33">
        <v>35</v>
      </c>
      <c r="Q54" s="45" t="s">
        <v>22</v>
      </c>
      <c r="R54" s="33">
        <v>30</v>
      </c>
      <c r="S54" s="47">
        <f t="shared" si="3"/>
        <v>2</v>
      </c>
      <c r="T54" s="45" t="s">
        <v>22</v>
      </c>
      <c r="U54" s="48">
        <f t="shared" si="4"/>
        <v>0</v>
      </c>
      <c r="W54" s="45" t="s">
        <v>43</v>
      </c>
      <c r="X54" s="45" t="s">
        <v>43</v>
      </c>
      <c r="Z54" s="33" t="s">
        <v>284</v>
      </c>
      <c r="AA54" s="33" t="s">
        <v>19</v>
      </c>
    </row>
    <row r="55" spans="1:27" ht="12.75">
      <c r="A55" s="33" t="str">
        <f t="shared" si="5"/>
        <v>m110305</v>
      </c>
      <c r="B55" s="61">
        <v>8</v>
      </c>
      <c r="C55" s="33"/>
      <c r="D55" s="33">
        <f t="shared" si="6"/>
        <v>31</v>
      </c>
      <c r="E55" s="33">
        <v>3</v>
      </c>
      <c r="F55" s="43" t="s">
        <v>16</v>
      </c>
      <c r="G55" s="33">
        <v>3</v>
      </c>
      <c r="H55" s="44" t="str">
        <f ca="1" t="shared" si="0"/>
        <v>Kölner TB</v>
      </c>
      <c r="I55" s="45" t="s">
        <v>23</v>
      </c>
      <c r="J55" s="33">
        <v>5</v>
      </c>
      <c r="K55" s="44" t="str">
        <f ca="1" t="shared" si="1"/>
        <v>VfL Waiblingen</v>
      </c>
      <c r="L55" s="43" t="s">
        <v>16</v>
      </c>
      <c r="M55" s="33">
        <v>1</v>
      </c>
      <c r="N55" s="44" t="str">
        <f ca="1" t="shared" si="2"/>
        <v>TSV Ohorn</v>
      </c>
      <c r="O55" s="46" t="s">
        <v>325</v>
      </c>
      <c r="P55" s="33">
        <v>21</v>
      </c>
      <c r="Q55" s="45" t="s">
        <v>22</v>
      </c>
      <c r="R55" s="33">
        <v>43</v>
      </c>
      <c r="S55" s="47">
        <f t="shared" si="3"/>
        <v>0</v>
      </c>
      <c r="T55" s="45" t="s">
        <v>22</v>
      </c>
      <c r="U55" s="48">
        <f t="shared" si="4"/>
        <v>2</v>
      </c>
      <c r="W55" s="45" t="s">
        <v>43</v>
      </c>
      <c r="X55" s="45" t="s">
        <v>43</v>
      </c>
      <c r="Z55" s="33" t="s">
        <v>285</v>
      </c>
      <c r="AA55" s="33" t="s">
        <v>19</v>
      </c>
    </row>
    <row r="56" spans="1:27" ht="12.75">
      <c r="A56" s="33" t="str">
        <f t="shared" si="5"/>
        <v>m111315</v>
      </c>
      <c r="B56" s="62">
        <v>8</v>
      </c>
      <c r="C56" s="49"/>
      <c r="D56" s="49">
        <f t="shared" si="6"/>
        <v>32</v>
      </c>
      <c r="E56" s="49">
        <v>4</v>
      </c>
      <c r="F56" s="50" t="s">
        <v>16</v>
      </c>
      <c r="G56" s="49">
        <v>13</v>
      </c>
      <c r="H56" s="51" t="str">
        <f ca="1" t="shared" si="0"/>
        <v>TV Reutin</v>
      </c>
      <c r="I56" s="52" t="s">
        <v>23</v>
      </c>
      <c r="J56" s="49">
        <v>15</v>
      </c>
      <c r="K56" s="51" t="str">
        <f ca="1" t="shared" si="1"/>
        <v>TV "Frisch Auf" Altenbochum</v>
      </c>
      <c r="L56" s="50" t="s">
        <v>16</v>
      </c>
      <c r="M56" s="49">
        <v>11</v>
      </c>
      <c r="N56" s="51" t="str">
        <f ca="1" t="shared" si="2"/>
        <v>TSV Marienfelde</v>
      </c>
      <c r="O56" s="53" t="s">
        <v>326</v>
      </c>
      <c r="P56" s="49">
        <v>40</v>
      </c>
      <c r="Q56" s="52" t="s">
        <v>22</v>
      </c>
      <c r="R56" s="49">
        <v>31</v>
      </c>
      <c r="S56" s="54">
        <f t="shared" si="3"/>
        <v>2</v>
      </c>
      <c r="T56" s="52" t="s">
        <v>22</v>
      </c>
      <c r="U56" s="55">
        <f t="shared" si="4"/>
        <v>0</v>
      </c>
      <c r="W56" s="52" t="s">
        <v>43</v>
      </c>
      <c r="X56" s="52" t="s">
        <v>43</v>
      </c>
      <c r="Z56" s="33" t="s">
        <v>285</v>
      </c>
      <c r="AA56" s="33" t="s">
        <v>19</v>
      </c>
    </row>
    <row r="57" spans="1:27" ht="12.75">
      <c r="A57" s="33" t="str">
        <f t="shared" si="5"/>
        <v>w110104</v>
      </c>
      <c r="B57" s="33">
        <f>+B53+1</f>
        <v>9</v>
      </c>
      <c r="C57" s="42">
        <f>+Daten!N13</f>
        <v>0.5138888888888888</v>
      </c>
      <c r="D57" s="33">
        <f t="shared" si="6"/>
        <v>33</v>
      </c>
      <c r="E57" s="33">
        <v>1</v>
      </c>
      <c r="F57" s="43" t="s">
        <v>15</v>
      </c>
      <c r="G57" s="33">
        <v>1</v>
      </c>
      <c r="H57" s="44" t="str">
        <f ca="1" t="shared" si="0"/>
        <v>MTV Eiche Schönebeck</v>
      </c>
      <c r="I57" s="45" t="s">
        <v>23</v>
      </c>
      <c r="J57" s="33">
        <v>4</v>
      </c>
      <c r="K57" s="44" t="str">
        <f ca="1" t="shared" si="1"/>
        <v>TV Winterhagen</v>
      </c>
      <c r="L57" s="43" t="s">
        <v>15</v>
      </c>
      <c r="M57" s="33">
        <v>3</v>
      </c>
      <c r="N57" s="44" t="str">
        <f ca="1" t="shared" si="2"/>
        <v>TuS Meinerzhagen</v>
      </c>
      <c r="O57" s="46" t="s">
        <v>327</v>
      </c>
      <c r="P57" s="33">
        <v>27</v>
      </c>
      <c r="Q57" s="45" t="s">
        <v>22</v>
      </c>
      <c r="R57" s="33">
        <v>39</v>
      </c>
      <c r="S57" s="47">
        <f aca="true" t="shared" si="7" ref="S57:S88">IF(P57="","",IF(P57&gt;R57,2,IF(P57&lt;R57,0,1)))</f>
        <v>0</v>
      </c>
      <c r="T57" s="45" t="s">
        <v>22</v>
      </c>
      <c r="U57" s="48">
        <f aca="true" t="shared" si="8" ref="U57:U88">IF(R57="","",IF(R57&gt;P57,2,IF(R57&lt;P57,0,1)))</f>
        <v>2</v>
      </c>
      <c r="W57" s="45" t="s">
        <v>43</v>
      </c>
      <c r="X57" s="45" t="s">
        <v>43</v>
      </c>
      <c r="Z57" s="33" t="s">
        <v>286</v>
      </c>
      <c r="AA57" s="33" t="s">
        <v>19</v>
      </c>
    </row>
    <row r="58" spans="1:27" ht="12.75">
      <c r="A58" s="33" t="str">
        <f t="shared" si="5"/>
        <v>w111114</v>
      </c>
      <c r="B58" s="61">
        <v>9</v>
      </c>
      <c r="C58" s="33"/>
      <c r="D58" s="33">
        <f t="shared" si="6"/>
        <v>34</v>
      </c>
      <c r="E58" s="33">
        <v>2</v>
      </c>
      <c r="F58" s="43" t="s">
        <v>15</v>
      </c>
      <c r="G58" s="33">
        <v>11</v>
      </c>
      <c r="H58" s="44" t="str">
        <f ca="1" t="shared" si="0"/>
        <v>TV Mahndorf</v>
      </c>
      <c r="I58" s="45" t="s">
        <v>23</v>
      </c>
      <c r="J58" s="33">
        <v>14</v>
      </c>
      <c r="K58" s="44" t="str">
        <f ca="1" t="shared" si="1"/>
        <v>SV Diepoldshofen</v>
      </c>
      <c r="L58" s="43" t="s">
        <v>15</v>
      </c>
      <c r="M58" s="33">
        <v>13</v>
      </c>
      <c r="N58" s="44" t="str">
        <f ca="1" t="shared" si="2"/>
        <v>SV Weiler</v>
      </c>
      <c r="O58" s="46" t="s">
        <v>328</v>
      </c>
      <c r="P58" s="33">
        <v>30</v>
      </c>
      <c r="Q58" s="45" t="s">
        <v>22</v>
      </c>
      <c r="R58" s="33">
        <v>45</v>
      </c>
      <c r="S58" s="47">
        <f t="shared" si="7"/>
        <v>0</v>
      </c>
      <c r="T58" s="45" t="s">
        <v>22</v>
      </c>
      <c r="U58" s="48">
        <f t="shared" si="8"/>
        <v>2</v>
      </c>
      <c r="W58" s="45" t="s">
        <v>43</v>
      </c>
      <c r="X58" s="45" t="s">
        <v>43</v>
      </c>
      <c r="Z58" s="33" t="s">
        <v>286</v>
      </c>
      <c r="AA58" s="33" t="s">
        <v>19</v>
      </c>
    </row>
    <row r="59" spans="1:27" ht="12.75">
      <c r="A59" s="33" t="str">
        <f t="shared" si="5"/>
        <v>m110104</v>
      </c>
      <c r="B59" s="61">
        <v>9</v>
      </c>
      <c r="C59" s="33"/>
      <c r="D59" s="33">
        <f t="shared" si="6"/>
        <v>35</v>
      </c>
      <c r="E59" s="33">
        <v>3</v>
      </c>
      <c r="F59" s="43" t="s">
        <v>16</v>
      </c>
      <c r="G59" s="33">
        <v>1</v>
      </c>
      <c r="H59" s="44" t="str">
        <f ca="1" t="shared" si="0"/>
        <v>TSV Ohorn</v>
      </c>
      <c r="I59" s="45" t="s">
        <v>23</v>
      </c>
      <c r="J59" s="33">
        <v>4</v>
      </c>
      <c r="K59" s="44" t="str">
        <f ca="1" t="shared" si="1"/>
        <v>PV Gundernhausen</v>
      </c>
      <c r="L59" s="43" t="s">
        <v>16</v>
      </c>
      <c r="M59" s="33">
        <v>3</v>
      </c>
      <c r="N59" s="44" t="str">
        <f ca="1" t="shared" si="2"/>
        <v>Kölner TB</v>
      </c>
      <c r="O59" s="46" t="s">
        <v>329</v>
      </c>
      <c r="P59" s="33">
        <v>25</v>
      </c>
      <c r="Q59" s="45" t="s">
        <v>22</v>
      </c>
      <c r="R59" s="33">
        <v>39</v>
      </c>
      <c r="S59" s="47">
        <f t="shared" si="7"/>
        <v>0</v>
      </c>
      <c r="T59" s="45" t="s">
        <v>22</v>
      </c>
      <c r="U59" s="48">
        <f t="shared" si="8"/>
        <v>2</v>
      </c>
      <c r="W59" s="45" t="s">
        <v>43</v>
      </c>
      <c r="X59" s="45" t="s">
        <v>43</v>
      </c>
      <c r="Z59" s="33" t="s">
        <v>287</v>
      </c>
      <c r="AA59" s="33" t="s">
        <v>19</v>
      </c>
    </row>
    <row r="60" spans="1:27" ht="12.75">
      <c r="A60" s="33" t="str">
        <f t="shared" si="5"/>
        <v>m111114</v>
      </c>
      <c r="B60" s="62">
        <v>9</v>
      </c>
      <c r="C60" s="49"/>
      <c r="D60" s="49">
        <f t="shared" si="6"/>
        <v>36</v>
      </c>
      <c r="E60" s="49">
        <v>4</v>
      </c>
      <c r="F60" s="50" t="s">
        <v>16</v>
      </c>
      <c r="G60" s="49">
        <v>11</v>
      </c>
      <c r="H60" s="51" t="str">
        <f ca="1" t="shared" si="0"/>
        <v>TSV Marienfelde</v>
      </c>
      <c r="I60" s="52" t="s">
        <v>23</v>
      </c>
      <c r="J60" s="49">
        <v>14</v>
      </c>
      <c r="K60" s="51" t="str">
        <f ca="1" t="shared" si="1"/>
        <v>SV Weiler</v>
      </c>
      <c r="L60" s="50" t="s">
        <v>16</v>
      </c>
      <c r="M60" s="49">
        <v>13</v>
      </c>
      <c r="N60" s="51" t="str">
        <f ca="1" t="shared" si="2"/>
        <v>TV Reutin</v>
      </c>
      <c r="O60" s="53" t="s">
        <v>330</v>
      </c>
      <c r="P60" s="49">
        <v>21</v>
      </c>
      <c r="Q60" s="52" t="s">
        <v>22</v>
      </c>
      <c r="R60" s="49">
        <v>40</v>
      </c>
      <c r="S60" s="54">
        <f t="shared" si="7"/>
        <v>0</v>
      </c>
      <c r="T60" s="52" t="s">
        <v>22</v>
      </c>
      <c r="U60" s="55">
        <f t="shared" si="8"/>
        <v>2</v>
      </c>
      <c r="W60" s="52" t="s">
        <v>43</v>
      </c>
      <c r="X60" s="52" t="s">
        <v>43</v>
      </c>
      <c r="Z60" s="33" t="s">
        <v>287</v>
      </c>
      <c r="AA60" s="33" t="s">
        <v>19</v>
      </c>
    </row>
    <row r="61" spans="1:27" ht="12.75">
      <c r="A61" s="33" t="str">
        <f t="shared" si="5"/>
        <v>w110205</v>
      </c>
      <c r="B61" s="33">
        <f>+B57+1</f>
        <v>10</v>
      </c>
      <c r="C61" s="42">
        <f>+Daten!N14</f>
        <v>0.53125</v>
      </c>
      <c r="D61" s="33">
        <f t="shared" si="6"/>
        <v>37</v>
      </c>
      <c r="E61" s="33">
        <v>1</v>
      </c>
      <c r="F61" s="43" t="s">
        <v>15</v>
      </c>
      <c r="G61" s="33">
        <v>2</v>
      </c>
      <c r="H61" s="44" t="str">
        <f ca="1" t="shared" si="0"/>
        <v>TV Sottrum</v>
      </c>
      <c r="I61" s="45" t="s">
        <v>23</v>
      </c>
      <c r="J61" s="33">
        <v>5</v>
      </c>
      <c r="K61" s="44" t="str">
        <f ca="1" t="shared" si="1"/>
        <v>TV Rieschweiler</v>
      </c>
      <c r="L61" s="43" t="s">
        <v>15</v>
      </c>
      <c r="M61" s="33">
        <v>4</v>
      </c>
      <c r="N61" s="44" t="str">
        <f ca="1" t="shared" si="2"/>
        <v>TV Winterhagen</v>
      </c>
      <c r="O61" s="46" t="s">
        <v>331</v>
      </c>
      <c r="P61" s="33">
        <v>37</v>
      </c>
      <c r="Q61" s="45" t="s">
        <v>22</v>
      </c>
      <c r="R61" s="33">
        <v>33</v>
      </c>
      <c r="S61" s="47">
        <f t="shared" si="7"/>
        <v>2</v>
      </c>
      <c r="T61" s="45" t="s">
        <v>22</v>
      </c>
      <c r="U61" s="48">
        <f t="shared" si="8"/>
        <v>0</v>
      </c>
      <c r="W61" s="45" t="s">
        <v>43</v>
      </c>
      <c r="X61" s="45" t="s">
        <v>43</v>
      </c>
      <c r="Z61" s="33" t="s">
        <v>288</v>
      </c>
      <c r="AA61" s="33" t="s">
        <v>19</v>
      </c>
    </row>
    <row r="62" spans="1:27" ht="12.75">
      <c r="A62" s="33" t="str">
        <f t="shared" si="5"/>
        <v>w111215</v>
      </c>
      <c r="B62" s="61">
        <v>10</v>
      </c>
      <c r="C62" s="33"/>
      <c r="D62" s="33">
        <f t="shared" si="6"/>
        <v>38</v>
      </c>
      <c r="E62" s="33">
        <v>2</v>
      </c>
      <c r="F62" s="43" t="s">
        <v>15</v>
      </c>
      <c r="G62" s="33">
        <v>12</v>
      </c>
      <c r="H62" s="44" t="str">
        <f ca="1" t="shared" si="0"/>
        <v>MTV Wohnste</v>
      </c>
      <c r="I62" s="45" t="s">
        <v>23</v>
      </c>
      <c r="J62" s="33">
        <v>15</v>
      </c>
      <c r="K62" s="44" t="str">
        <f ca="1" t="shared" si="1"/>
        <v>TV Berkenbaum</v>
      </c>
      <c r="L62" s="43" t="s">
        <v>15</v>
      </c>
      <c r="M62" s="33">
        <v>14</v>
      </c>
      <c r="N62" s="44" t="str">
        <f ca="1" t="shared" si="2"/>
        <v>SV Diepoldshofen</v>
      </c>
      <c r="O62" s="46" t="s">
        <v>332</v>
      </c>
      <c r="P62" s="33">
        <v>43</v>
      </c>
      <c r="Q62" s="45" t="s">
        <v>22</v>
      </c>
      <c r="R62" s="33">
        <v>29</v>
      </c>
      <c r="S62" s="47">
        <f t="shared" si="7"/>
        <v>2</v>
      </c>
      <c r="T62" s="45" t="s">
        <v>22</v>
      </c>
      <c r="U62" s="48">
        <f t="shared" si="8"/>
        <v>0</v>
      </c>
      <c r="W62" s="45" t="s">
        <v>43</v>
      </c>
      <c r="X62" s="45" t="s">
        <v>43</v>
      </c>
      <c r="Z62" s="33" t="s">
        <v>288</v>
      </c>
      <c r="AA62" s="33" t="s">
        <v>19</v>
      </c>
    </row>
    <row r="63" spans="1:27" ht="12.75">
      <c r="A63" s="33" t="str">
        <f t="shared" si="5"/>
        <v>m110205</v>
      </c>
      <c r="B63" s="61">
        <v>10</v>
      </c>
      <c r="C63" s="33"/>
      <c r="D63" s="33">
        <f t="shared" si="6"/>
        <v>39</v>
      </c>
      <c r="E63" s="33">
        <v>3</v>
      </c>
      <c r="F63" s="43" t="s">
        <v>16</v>
      </c>
      <c r="G63" s="33">
        <v>2</v>
      </c>
      <c r="H63" s="44" t="str">
        <f ca="1" t="shared" si="0"/>
        <v>MTV Eiche Schönebeck</v>
      </c>
      <c r="I63" s="45" t="s">
        <v>23</v>
      </c>
      <c r="J63" s="33">
        <v>5</v>
      </c>
      <c r="K63" s="44" t="str">
        <f ca="1" t="shared" si="1"/>
        <v>VfL Waiblingen</v>
      </c>
      <c r="L63" s="43" t="s">
        <v>16</v>
      </c>
      <c r="M63" s="33">
        <v>4</v>
      </c>
      <c r="N63" s="44" t="str">
        <f ca="1" t="shared" si="2"/>
        <v>PV Gundernhausen</v>
      </c>
      <c r="O63" s="46" t="s">
        <v>333</v>
      </c>
      <c r="P63" s="33">
        <v>25</v>
      </c>
      <c r="Q63" s="45" t="s">
        <v>22</v>
      </c>
      <c r="R63" s="33">
        <v>38</v>
      </c>
      <c r="S63" s="47">
        <f t="shared" si="7"/>
        <v>0</v>
      </c>
      <c r="T63" s="45" t="s">
        <v>22</v>
      </c>
      <c r="U63" s="48">
        <f t="shared" si="8"/>
        <v>2</v>
      </c>
      <c r="W63" s="45" t="s">
        <v>43</v>
      </c>
      <c r="X63" s="45" t="s">
        <v>43</v>
      </c>
      <c r="Z63" s="33" t="s">
        <v>289</v>
      </c>
      <c r="AA63" s="33" t="s">
        <v>19</v>
      </c>
    </row>
    <row r="64" spans="1:27" ht="12.75">
      <c r="A64" s="33" t="str">
        <f t="shared" si="5"/>
        <v>m111215</v>
      </c>
      <c r="B64" s="62">
        <v>10</v>
      </c>
      <c r="C64" s="49"/>
      <c r="D64" s="49">
        <f t="shared" si="6"/>
        <v>40</v>
      </c>
      <c r="E64" s="49">
        <v>4</v>
      </c>
      <c r="F64" s="50" t="s">
        <v>16</v>
      </c>
      <c r="G64" s="49">
        <v>12</v>
      </c>
      <c r="H64" s="51" t="str">
        <f ca="1" t="shared" si="0"/>
        <v>SV Werder Bremen</v>
      </c>
      <c r="I64" s="52" t="s">
        <v>23</v>
      </c>
      <c r="J64" s="49">
        <v>15</v>
      </c>
      <c r="K64" s="51" t="str">
        <f ca="1" t="shared" si="1"/>
        <v>TV "Frisch Auf" Altenbochum</v>
      </c>
      <c r="L64" s="50" t="s">
        <v>16</v>
      </c>
      <c r="M64" s="49">
        <v>14</v>
      </c>
      <c r="N64" s="51" t="str">
        <f ca="1" t="shared" si="2"/>
        <v>SV Weiler</v>
      </c>
      <c r="O64" s="53" t="s">
        <v>298</v>
      </c>
      <c r="P64" s="49">
        <v>35</v>
      </c>
      <c r="Q64" s="52" t="s">
        <v>22</v>
      </c>
      <c r="R64" s="49">
        <v>30</v>
      </c>
      <c r="S64" s="54">
        <f t="shared" si="7"/>
        <v>2</v>
      </c>
      <c r="T64" s="52" t="s">
        <v>22</v>
      </c>
      <c r="U64" s="55">
        <f t="shared" si="8"/>
        <v>0</v>
      </c>
      <c r="W64" s="52" t="s">
        <v>43</v>
      </c>
      <c r="X64" s="52" t="s">
        <v>43</v>
      </c>
      <c r="Z64" s="33" t="s">
        <v>289</v>
      </c>
      <c r="AA64" s="33" t="s">
        <v>19</v>
      </c>
    </row>
    <row r="65" spans="1:27" ht="12.75" hidden="1" outlineLevel="1">
      <c r="A65" s="33"/>
      <c r="B65" s="56" t="s">
        <v>44</v>
      </c>
      <c r="C65" s="56"/>
      <c r="D65" s="56" t="s">
        <v>25</v>
      </c>
      <c r="E65" s="33">
        <v>1</v>
      </c>
      <c r="F65" s="57"/>
      <c r="G65" s="56"/>
      <c r="H65" s="44"/>
      <c r="I65" s="45" t="s">
        <v>23</v>
      </c>
      <c r="J65" s="56"/>
      <c r="K65" s="44"/>
      <c r="L65" s="57"/>
      <c r="M65" s="56"/>
      <c r="N65" s="44"/>
      <c r="O65" s="58"/>
      <c r="P65" s="33"/>
      <c r="Q65" s="45" t="s">
        <v>22</v>
      </c>
      <c r="R65" s="33"/>
      <c r="S65" s="47">
        <f t="shared" si="7"/>
      </c>
      <c r="T65" s="45" t="s">
        <v>22</v>
      </c>
      <c r="U65" s="48">
        <f t="shared" si="8"/>
      </c>
      <c r="W65" s="45" t="s">
        <v>43</v>
      </c>
      <c r="X65" s="45" t="s">
        <v>43</v>
      </c>
      <c r="Z65" s="33" t="s">
        <v>45</v>
      </c>
      <c r="AA65" s="33" t="s">
        <v>172</v>
      </c>
    </row>
    <row r="66" spans="1:27" ht="12.75" hidden="1" outlineLevel="1">
      <c r="A66" s="33"/>
      <c r="B66" s="56" t="s">
        <v>24</v>
      </c>
      <c r="C66" s="56"/>
      <c r="D66" s="56" t="s">
        <v>26</v>
      </c>
      <c r="E66" s="33">
        <v>2</v>
      </c>
      <c r="F66" s="57"/>
      <c r="G66" s="56"/>
      <c r="H66" s="44"/>
      <c r="I66" s="45" t="s">
        <v>23</v>
      </c>
      <c r="J66" s="56"/>
      <c r="K66" s="44"/>
      <c r="L66" s="57"/>
      <c r="M66" s="56"/>
      <c r="N66" s="44"/>
      <c r="O66" s="58"/>
      <c r="P66" s="33"/>
      <c r="Q66" s="45" t="s">
        <v>22</v>
      </c>
      <c r="R66" s="33"/>
      <c r="S66" s="47">
        <f t="shared" si="7"/>
      </c>
      <c r="T66" s="45" t="s">
        <v>22</v>
      </c>
      <c r="U66" s="48">
        <f t="shared" si="8"/>
      </c>
      <c r="W66" s="45" t="s">
        <v>43</v>
      </c>
      <c r="X66" s="45" t="s">
        <v>43</v>
      </c>
      <c r="Z66" s="33" t="s">
        <v>45</v>
      </c>
      <c r="AA66" s="33" t="s">
        <v>172</v>
      </c>
    </row>
    <row r="67" spans="1:27" ht="12.75" hidden="1" outlineLevel="1">
      <c r="A67" s="33"/>
      <c r="B67" s="56"/>
      <c r="C67" s="56"/>
      <c r="D67" s="56" t="s">
        <v>29</v>
      </c>
      <c r="E67" s="33">
        <v>3</v>
      </c>
      <c r="F67" s="57"/>
      <c r="G67" s="56"/>
      <c r="H67" s="44"/>
      <c r="I67" s="45" t="s">
        <v>23</v>
      </c>
      <c r="J67" s="56"/>
      <c r="K67" s="44"/>
      <c r="L67" s="57"/>
      <c r="M67" s="56"/>
      <c r="N67" s="44"/>
      <c r="O67" s="58"/>
      <c r="P67" s="33"/>
      <c r="Q67" s="45" t="s">
        <v>22</v>
      </c>
      <c r="R67" s="33"/>
      <c r="S67" s="47">
        <f t="shared" si="7"/>
      </c>
      <c r="T67" s="45" t="s">
        <v>22</v>
      </c>
      <c r="U67" s="48">
        <f t="shared" si="8"/>
      </c>
      <c r="W67" s="45" t="s">
        <v>43</v>
      </c>
      <c r="X67" s="45" t="s">
        <v>43</v>
      </c>
      <c r="Z67" s="33" t="s">
        <v>45</v>
      </c>
      <c r="AA67" s="33" t="s">
        <v>172</v>
      </c>
    </row>
    <row r="68" spans="1:27" ht="12.75" hidden="1" outlineLevel="1">
      <c r="A68" s="33"/>
      <c r="B68" s="49"/>
      <c r="C68" s="49"/>
      <c r="D68" s="49" t="s">
        <v>30</v>
      </c>
      <c r="E68" s="49">
        <v>4</v>
      </c>
      <c r="F68" s="50"/>
      <c r="G68" s="49"/>
      <c r="H68" s="51"/>
      <c r="I68" s="52" t="s">
        <v>23</v>
      </c>
      <c r="J68" s="49"/>
      <c r="K68" s="51"/>
      <c r="L68" s="50"/>
      <c r="M68" s="49"/>
      <c r="N68" s="51"/>
      <c r="O68" s="53"/>
      <c r="P68" s="49"/>
      <c r="Q68" s="52" t="s">
        <v>22</v>
      </c>
      <c r="R68" s="49"/>
      <c r="S68" s="54">
        <f t="shared" si="7"/>
      </c>
      <c r="T68" s="52" t="s">
        <v>22</v>
      </c>
      <c r="U68" s="55">
        <f t="shared" si="8"/>
      </c>
      <c r="W68" s="52" t="s">
        <v>43</v>
      </c>
      <c r="X68" s="52" t="s">
        <v>43</v>
      </c>
      <c r="Z68" s="33" t="s">
        <v>45</v>
      </c>
      <c r="AA68" s="33" t="s">
        <v>172</v>
      </c>
    </row>
    <row r="69" spans="1:27" ht="12.75" hidden="1" outlineLevel="1">
      <c r="A69" s="33"/>
      <c r="B69" s="56" t="s">
        <v>46</v>
      </c>
      <c r="C69" s="56"/>
      <c r="D69" s="56" t="s">
        <v>32</v>
      </c>
      <c r="E69" s="33">
        <v>1</v>
      </c>
      <c r="F69" s="57"/>
      <c r="G69" s="56"/>
      <c r="H69" s="44"/>
      <c r="I69" s="45" t="s">
        <v>23</v>
      </c>
      <c r="J69" s="56"/>
      <c r="K69" s="44"/>
      <c r="L69" s="57"/>
      <c r="M69" s="56"/>
      <c r="N69" s="44"/>
      <c r="O69" s="58"/>
      <c r="P69" s="33"/>
      <c r="Q69" s="45" t="s">
        <v>22</v>
      </c>
      <c r="R69" s="33"/>
      <c r="S69" s="47">
        <f t="shared" si="7"/>
      </c>
      <c r="T69" s="45" t="s">
        <v>22</v>
      </c>
      <c r="U69" s="48">
        <f t="shared" si="8"/>
      </c>
      <c r="W69" s="45" t="s">
        <v>43</v>
      </c>
      <c r="X69" s="45" t="s">
        <v>43</v>
      </c>
      <c r="Z69" s="33" t="s">
        <v>45</v>
      </c>
      <c r="AA69" s="33" t="s">
        <v>172</v>
      </c>
    </row>
    <row r="70" spans="1:27" ht="12.75" hidden="1" outlineLevel="1">
      <c r="A70" s="33"/>
      <c r="B70" s="56" t="s">
        <v>24</v>
      </c>
      <c r="C70" s="56"/>
      <c r="D70" s="56" t="s">
        <v>33</v>
      </c>
      <c r="E70" s="33">
        <v>2</v>
      </c>
      <c r="F70" s="57"/>
      <c r="G70" s="56"/>
      <c r="H70" s="44"/>
      <c r="I70" s="45" t="s">
        <v>23</v>
      </c>
      <c r="J70" s="56"/>
      <c r="K70" s="44"/>
      <c r="L70" s="57"/>
      <c r="M70" s="56"/>
      <c r="N70" s="44"/>
      <c r="O70" s="58"/>
      <c r="P70" s="33"/>
      <c r="Q70" s="45" t="s">
        <v>22</v>
      </c>
      <c r="R70" s="33"/>
      <c r="S70" s="47">
        <f t="shared" si="7"/>
      </c>
      <c r="T70" s="45" t="s">
        <v>22</v>
      </c>
      <c r="U70" s="48">
        <f t="shared" si="8"/>
      </c>
      <c r="W70" s="45" t="s">
        <v>43</v>
      </c>
      <c r="X70" s="45" t="s">
        <v>43</v>
      </c>
      <c r="Z70" s="33" t="s">
        <v>45</v>
      </c>
      <c r="AA70" s="33" t="s">
        <v>172</v>
      </c>
    </row>
    <row r="71" spans="1:27" ht="12.75" hidden="1" outlineLevel="1">
      <c r="A71" s="33"/>
      <c r="B71" s="56"/>
      <c r="C71" s="56"/>
      <c r="D71" s="56" t="s">
        <v>47</v>
      </c>
      <c r="E71" s="33">
        <v>3</v>
      </c>
      <c r="F71" s="57"/>
      <c r="G71" s="56"/>
      <c r="H71" s="44"/>
      <c r="I71" s="45" t="s">
        <v>23</v>
      </c>
      <c r="J71" s="56"/>
      <c r="K71" s="44"/>
      <c r="L71" s="57"/>
      <c r="M71" s="56"/>
      <c r="N71" s="44"/>
      <c r="O71" s="58"/>
      <c r="P71" s="33"/>
      <c r="Q71" s="45" t="s">
        <v>22</v>
      </c>
      <c r="R71" s="33"/>
      <c r="S71" s="47">
        <f t="shared" si="7"/>
      </c>
      <c r="T71" s="45" t="s">
        <v>22</v>
      </c>
      <c r="U71" s="48">
        <f t="shared" si="8"/>
      </c>
      <c r="W71" s="45" t="s">
        <v>43</v>
      </c>
      <c r="X71" s="45" t="s">
        <v>43</v>
      </c>
      <c r="Z71" s="33" t="s">
        <v>45</v>
      </c>
      <c r="AA71" s="33" t="s">
        <v>172</v>
      </c>
    </row>
    <row r="72" spans="1:27" ht="12.75" hidden="1" outlineLevel="1">
      <c r="A72" s="33"/>
      <c r="B72" s="49"/>
      <c r="C72" s="49"/>
      <c r="D72" s="49" t="s">
        <v>48</v>
      </c>
      <c r="E72" s="49">
        <v>4</v>
      </c>
      <c r="F72" s="50"/>
      <c r="G72" s="49"/>
      <c r="H72" s="51"/>
      <c r="I72" s="52" t="s">
        <v>23</v>
      </c>
      <c r="J72" s="49"/>
      <c r="K72" s="51"/>
      <c r="L72" s="50"/>
      <c r="M72" s="49"/>
      <c r="N72" s="51"/>
      <c r="O72" s="53"/>
      <c r="P72" s="49"/>
      <c r="Q72" s="52" t="s">
        <v>22</v>
      </c>
      <c r="R72" s="49"/>
      <c r="S72" s="54">
        <f t="shared" si="7"/>
      </c>
      <c r="T72" s="52" t="s">
        <v>22</v>
      </c>
      <c r="U72" s="55">
        <f t="shared" si="8"/>
      </c>
      <c r="W72" s="52" t="s">
        <v>43</v>
      </c>
      <c r="X72" s="52" t="s">
        <v>43</v>
      </c>
      <c r="Z72" s="33" t="s">
        <v>45</v>
      </c>
      <c r="AA72" s="33" t="s">
        <v>172</v>
      </c>
    </row>
    <row r="73" spans="1:27" ht="12.75" hidden="1" outlineLevel="1">
      <c r="A73" s="33"/>
      <c r="B73" s="56" t="s">
        <v>49</v>
      </c>
      <c r="C73" s="56"/>
      <c r="D73" s="56" t="s">
        <v>50</v>
      </c>
      <c r="E73" s="33">
        <v>1</v>
      </c>
      <c r="F73" s="57"/>
      <c r="G73" s="56"/>
      <c r="H73" s="44"/>
      <c r="I73" s="45" t="s">
        <v>23</v>
      </c>
      <c r="J73" s="56"/>
      <c r="K73" s="44"/>
      <c r="L73" s="57"/>
      <c r="M73" s="56"/>
      <c r="N73" s="44"/>
      <c r="O73" s="58"/>
      <c r="P73" s="33"/>
      <c r="Q73" s="45" t="s">
        <v>22</v>
      </c>
      <c r="R73" s="33"/>
      <c r="S73" s="47">
        <f t="shared" si="7"/>
      </c>
      <c r="T73" s="45" t="s">
        <v>22</v>
      </c>
      <c r="U73" s="48">
        <f t="shared" si="8"/>
      </c>
      <c r="W73" s="45" t="s">
        <v>43</v>
      </c>
      <c r="X73" s="45" t="s">
        <v>43</v>
      </c>
      <c r="Z73" s="33" t="s">
        <v>45</v>
      </c>
      <c r="AA73" s="33" t="s">
        <v>172</v>
      </c>
    </row>
    <row r="74" spans="1:27" ht="12.75" hidden="1" outlineLevel="1">
      <c r="A74" s="33"/>
      <c r="B74" s="56" t="s">
        <v>24</v>
      </c>
      <c r="C74" s="56"/>
      <c r="D74" s="56" t="s">
        <v>51</v>
      </c>
      <c r="E74" s="33">
        <v>2</v>
      </c>
      <c r="F74" s="57"/>
      <c r="G74" s="56"/>
      <c r="H74" s="44"/>
      <c r="I74" s="45" t="s">
        <v>23</v>
      </c>
      <c r="J74" s="56"/>
      <c r="K74" s="44"/>
      <c r="L74" s="57"/>
      <c r="M74" s="56"/>
      <c r="N74" s="44"/>
      <c r="O74" s="58"/>
      <c r="P74" s="33"/>
      <c r="Q74" s="45" t="s">
        <v>22</v>
      </c>
      <c r="R74" s="33"/>
      <c r="S74" s="47">
        <f t="shared" si="7"/>
      </c>
      <c r="T74" s="45" t="s">
        <v>22</v>
      </c>
      <c r="U74" s="48">
        <f t="shared" si="8"/>
      </c>
      <c r="W74" s="45" t="s">
        <v>43</v>
      </c>
      <c r="X74" s="45" t="s">
        <v>43</v>
      </c>
      <c r="Z74" s="33" t="s">
        <v>45</v>
      </c>
      <c r="AA74" s="33" t="s">
        <v>172</v>
      </c>
    </row>
    <row r="75" spans="1:27" ht="12.75" hidden="1" outlineLevel="1">
      <c r="A75" s="33"/>
      <c r="B75" s="56"/>
      <c r="C75" s="56"/>
      <c r="D75" s="56" t="s">
        <v>52</v>
      </c>
      <c r="E75" s="33">
        <v>3</v>
      </c>
      <c r="F75" s="57"/>
      <c r="G75" s="56"/>
      <c r="H75" s="44"/>
      <c r="I75" s="45" t="s">
        <v>23</v>
      </c>
      <c r="J75" s="56"/>
      <c r="K75" s="44"/>
      <c r="L75" s="57"/>
      <c r="M75" s="56"/>
      <c r="N75" s="44"/>
      <c r="O75" s="58"/>
      <c r="P75" s="33"/>
      <c r="Q75" s="45" t="s">
        <v>22</v>
      </c>
      <c r="R75" s="33"/>
      <c r="S75" s="47">
        <f t="shared" si="7"/>
      </c>
      <c r="T75" s="45" t="s">
        <v>22</v>
      </c>
      <c r="U75" s="48">
        <f t="shared" si="8"/>
      </c>
      <c r="W75" s="45" t="s">
        <v>43</v>
      </c>
      <c r="X75" s="45" t="s">
        <v>43</v>
      </c>
      <c r="Z75" s="33" t="s">
        <v>45</v>
      </c>
      <c r="AA75" s="33" t="s">
        <v>172</v>
      </c>
    </row>
    <row r="76" spans="1:27" ht="12.75" hidden="1" outlineLevel="1">
      <c r="A76" s="33"/>
      <c r="B76" s="49"/>
      <c r="C76" s="49"/>
      <c r="D76" s="49" t="s">
        <v>53</v>
      </c>
      <c r="E76" s="49">
        <v>4</v>
      </c>
      <c r="F76" s="50"/>
      <c r="G76" s="49"/>
      <c r="H76" s="51"/>
      <c r="I76" s="52" t="s">
        <v>23</v>
      </c>
      <c r="J76" s="49"/>
      <c r="K76" s="51"/>
      <c r="L76" s="50"/>
      <c r="M76" s="49"/>
      <c r="N76" s="51"/>
      <c r="O76" s="53"/>
      <c r="P76" s="49"/>
      <c r="Q76" s="52" t="s">
        <v>22</v>
      </c>
      <c r="R76" s="49"/>
      <c r="S76" s="54">
        <f t="shared" si="7"/>
      </c>
      <c r="T76" s="52" t="s">
        <v>22</v>
      </c>
      <c r="U76" s="55">
        <f t="shared" si="8"/>
      </c>
      <c r="W76" s="52" t="s">
        <v>43</v>
      </c>
      <c r="X76" s="52" t="s">
        <v>43</v>
      </c>
      <c r="Z76" s="33" t="s">
        <v>45</v>
      </c>
      <c r="AA76" s="33" t="s">
        <v>172</v>
      </c>
    </row>
    <row r="77" spans="1:27" ht="12.75" hidden="1" outlineLevel="1">
      <c r="A77" s="33"/>
      <c r="B77" s="56" t="s">
        <v>54</v>
      </c>
      <c r="C77" s="56"/>
      <c r="D77" s="56" t="s">
        <v>55</v>
      </c>
      <c r="E77" s="33">
        <v>1</v>
      </c>
      <c r="F77" s="57"/>
      <c r="G77" s="56"/>
      <c r="H77" s="44"/>
      <c r="I77" s="45" t="s">
        <v>23</v>
      </c>
      <c r="J77" s="56"/>
      <c r="K77" s="44"/>
      <c r="L77" s="57"/>
      <c r="M77" s="56"/>
      <c r="N77" s="44"/>
      <c r="O77" s="58"/>
      <c r="P77" s="33"/>
      <c r="Q77" s="45" t="s">
        <v>22</v>
      </c>
      <c r="R77" s="33"/>
      <c r="S77" s="47">
        <f t="shared" si="7"/>
      </c>
      <c r="T77" s="45" t="s">
        <v>22</v>
      </c>
      <c r="U77" s="48">
        <f t="shared" si="8"/>
      </c>
      <c r="W77" s="45" t="s">
        <v>43</v>
      </c>
      <c r="X77" s="45" t="s">
        <v>43</v>
      </c>
      <c r="Z77" s="33" t="s">
        <v>45</v>
      </c>
      <c r="AA77" s="33" t="s">
        <v>172</v>
      </c>
    </row>
    <row r="78" spans="1:27" ht="12.75" hidden="1" outlineLevel="1">
      <c r="A78" s="33"/>
      <c r="B78" s="56" t="s">
        <v>24</v>
      </c>
      <c r="C78" s="56"/>
      <c r="D78" s="56" t="s">
        <v>56</v>
      </c>
      <c r="E78" s="33">
        <v>2</v>
      </c>
      <c r="F78" s="57"/>
      <c r="G78" s="56"/>
      <c r="H78" s="44"/>
      <c r="I78" s="45" t="s">
        <v>23</v>
      </c>
      <c r="J78" s="56"/>
      <c r="K78" s="44"/>
      <c r="L78" s="57"/>
      <c r="M78" s="56"/>
      <c r="N78" s="44"/>
      <c r="O78" s="58"/>
      <c r="P78" s="33"/>
      <c r="Q78" s="45" t="s">
        <v>22</v>
      </c>
      <c r="R78" s="33"/>
      <c r="S78" s="47">
        <f t="shared" si="7"/>
      </c>
      <c r="T78" s="45" t="s">
        <v>22</v>
      </c>
      <c r="U78" s="48">
        <f t="shared" si="8"/>
      </c>
      <c r="W78" s="45" t="s">
        <v>43</v>
      </c>
      <c r="X78" s="45" t="s">
        <v>43</v>
      </c>
      <c r="Z78" s="33" t="s">
        <v>45</v>
      </c>
      <c r="AA78" s="33" t="s">
        <v>172</v>
      </c>
    </row>
    <row r="79" spans="1:27" ht="12.75" hidden="1" outlineLevel="1">
      <c r="A79" s="33"/>
      <c r="B79" s="56"/>
      <c r="C79" s="56"/>
      <c r="D79" s="56" t="s">
        <v>57</v>
      </c>
      <c r="E79" s="33">
        <v>3</v>
      </c>
      <c r="F79" s="57"/>
      <c r="G79" s="56"/>
      <c r="H79" s="44"/>
      <c r="I79" s="45" t="s">
        <v>23</v>
      </c>
      <c r="J79" s="56"/>
      <c r="K79" s="44"/>
      <c r="L79" s="57"/>
      <c r="M79" s="56"/>
      <c r="N79" s="44"/>
      <c r="O79" s="58"/>
      <c r="P79" s="33"/>
      <c r="Q79" s="45" t="s">
        <v>22</v>
      </c>
      <c r="R79" s="33"/>
      <c r="S79" s="47">
        <f t="shared" si="7"/>
      </c>
      <c r="T79" s="45" t="s">
        <v>22</v>
      </c>
      <c r="U79" s="48">
        <f t="shared" si="8"/>
      </c>
      <c r="W79" s="45" t="s">
        <v>43</v>
      </c>
      <c r="X79" s="45" t="s">
        <v>43</v>
      </c>
      <c r="Z79" s="33" t="s">
        <v>45</v>
      </c>
      <c r="AA79" s="33" t="s">
        <v>172</v>
      </c>
    </row>
    <row r="80" spans="1:27" ht="12.75" hidden="1" outlineLevel="1">
      <c r="A80" s="33"/>
      <c r="B80" s="49"/>
      <c r="C80" s="49"/>
      <c r="D80" s="49" t="s">
        <v>58</v>
      </c>
      <c r="E80" s="49">
        <v>4</v>
      </c>
      <c r="F80" s="50"/>
      <c r="G80" s="49"/>
      <c r="H80" s="51"/>
      <c r="I80" s="52" t="s">
        <v>23</v>
      </c>
      <c r="J80" s="49"/>
      <c r="K80" s="51"/>
      <c r="L80" s="50"/>
      <c r="M80" s="49"/>
      <c r="N80" s="51"/>
      <c r="O80" s="53"/>
      <c r="P80" s="49"/>
      <c r="Q80" s="52" t="s">
        <v>22</v>
      </c>
      <c r="R80" s="49"/>
      <c r="S80" s="54">
        <f t="shared" si="7"/>
      </c>
      <c r="T80" s="52" t="s">
        <v>22</v>
      </c>
      <c r="U80" s="55">
        <f t="shared" si="8"/>
      </c>
      <c r="W80" s="52" t="s">
        <v>43</v>
      </c>
      <c r="X80" s="52" t="s">
        <v>43</v>
      </c>
      <c r="Z80" s="33" t="s">
        <v>45</v>
      </c>
      <c r="AA80" s="33" t="s">
        <v>172</v>
      </c>
    </row>
    <row r="81" spans="1:28" ht="12.75" collapsed="1">
      <c r="A81" s="33" t="str">
        <f t="shared" si="5"/>
        <v>w150102</v>
      </c>
      <c r="B81" s="33">
        <f>+B61+1</f>
        <v>11</v>
      </c>
      <c r="C81" s="42">
        <f>+Daten!N15</f>
        <v>0.5833333333333334</v>
      </c>
      <c r="D81" s="33">
        <f>+D64+1</f>
        <v>41</v>
      </c>
      <c r="E81" s="33">
        <v>1</v>
      </c>
      <c r="F81" s="43" t="s">
        <v>17</v>
      </c>
      <c r="G81" s="33">
        <v>1</v>
      </c>
      <c r="H81" s="44" t="str">
        <f ca="1" t="shared" si="9" ref="H81:H122">INDIRECT(ADDRESS(MATCH(G81,$A$1:$A$22,0),MATCH(F81,$A$8:$AD$8,0)))</f>
        <v>MTV Wohnste</v>
      </c>
      <c r="I81" s="45" t="s">
        <v>23</v>
      </c>
      <c r="J81" s="33">
        <v>2</v>
      </c>
      <c r="K81" s="44" t="str">
        <f ca="1" t="shared" si="10" ref="K81:K122">INDIRECT(ADDRESS(MATCH(J81,$A$1:$A$22,0),MATCH(F81,$A$8:$AD$8,0)))</f>
        <v>MTV Eiche Schönebeck</v>
      </c>
      <c r="L81" s="43" t="s">
        <v>17</v>
      </c>
      <c r="M81" s="33">
        <v>3</v>
      </c>
      <c r="N81" s="44" t="str">
        <f ca="1" t="shared" si="11" ref="N81:N122">INDIRECT(ADDRESS(MATCH(M81,$A$1:$A$22,0),MATCH(L81,$A$8:$AD$8,0)))</f>
        <v>TV Kierdorf 1962</v>
      </c>
      <c r="O81" s="46" t="s">
        <v>330</v>
      </c>
      <c r="P81" s="33">
        <v>20</v>
      </c>
      <c r="Q81" s="45" t="s">
        <v>22</v>
      </c>
      <c r="R81" s="33">
        <v>41</v>
      </c>
      <c r="S81" s="47">
        <f t="shared" si="7"/>
        <v>0</v>
      </c>
      <c r="T81" s="45" t="s">
        <v>22</v>
      </c>
      <c r="U81" s="48">
        <f t="shared" si="8"/>
        <v>2</v>
      </c>
      <c r="W81" s="45" t="s">
        <v>43</v>
      </c>
      <c r="X81" s="45" t="s">
        <v>43</v>
      </c>
      <c r="Z81" s="33" t="s">
        <v>59</v>
      </c>
      <c r="AA81" s="33" t="s">
        <v>19</v>
      </c>
      <c r="AB81" s="3">
        <v>1</v>
      </c>
    </row>
    <row r="82" spans="1:28" ht="12.75">
      <c r="A82" s="33" t="str">
        <f t="shared" si="5"/>
        <v>w151112</v>
      </c>
      <c r="B82" s="61">
        <v>11</v>
      </c>
      <c r="C82" s="33"/>
      <c r="D82" s="33">
        <f aca="true" t="shared" si="12" ref="D82:D89">+D81+1</f>
        <v>42</v>
      </c>
      <c r="E82" s="33">
        <v>2</v>
      </c>
      <c r="F82" s="43" t="s">
        <v>17</v>
      </c>
      <c r="G82" s="33">
        <v>11</v>
      </c>
      <c r="H82" s="44" t="str">
        <f ca="1" t="shared" si="9"/>
        <v>TV Sottrum</v>
      </c>
      <c r="I82" s="45" t="s">
        <v>23</v>
      </c>
      <c r="J82" s="33">
        <v>12</v>
      </c>
      <c r="K82" s="44" t="str">
        <f ca="1" t="shared" si="10"/>
        <v>TuS Concordia Hülsede</v>
      </c>
      <c r="L82" s="43" t="s">
        <v>17</v>
      </c>
      <c r="M82" s="33">
        <v>13</v>
      </c>
      <c r="N82" s="44" t="str">
        <f ca="1" t="shared" si="11"/>
        <v>TSV Wuchzenhofen</v>
      </c>
      <c r="O82" s="46" t="s">
        <v>334</v>
      </c>
      <c r="P82" s="33">
        <v>32</v>
      </c>
      <c r="Q82" s="45" t="s">
        <v>22</v>
      </c>
      <c r="R82" s="33">
        <v>33</v>
      </c>
      <c r="S82" s="47">
        <f t="shared" si="7"/>
        <v>0</v>
      </c>
      <c r="T82" s="45" t="s">
        <v>22</v>
      </c>
      <c r="U82" s="48">
        <f t="shared" si="8"/>
        <v>2</v>
      </c>
      <c r="W82" s="45" t="s">
        <v>43</v>
      </c>
      <c r="X82" s="45" t="s">
        <v>43</v>
      </c>
      <c r="Z82" s="33" t="s">
        <v>59</v>
      </c>
      <c r="AA82" s="33" t="s">
        <v>19</v>
      </c>
      <c r="AB82" s="3">
        <v>1</v>
      </c>
    </row>
    <row r="83" spans="1:28" ht="12.75">
      <c r="A83" s="33" t="str">
        <f t="shared" si="5"/>
        <v>m150102</v>
      </c>
      <c r="B83" s="61">
        <v>11</v>
      </c>
      <c r="C83" s="33"/>
      <c r="D83" s="33">
        <f t="shared" si="12"/>
        <v>43</v>
      </c>
      <c r="E83" s="33">
        <v>3</v>
      </c>
      <c r="F83" s="43" t="s">
        <v>18</v>
      </c>
      <c r="G83" s="33">
        <v>1</v>
      </c>
      <c r="H83" s="44" t="str">
        <f ca="1" t="shared" si="9"/>
        <v>TV Sottrum</v>
      </c>
      <c r="I83" s="45" t="s">
        <v>23</v>
      </c>
      <c r="J83" s="33">
        <v>2</v>
      </c>
      <c r="K83" s="44" t="str">
        <f ca="1" t="shared" si="10"/>
        <v>TuS Aschen-Strang</v>
      </c>
      <c r="L83" s="43" t="s">
        <v>18</v>
      </c>
      <c r="M83" s="33">
        <v>3</v>
      </c>
      <c r="N83" s="44" t="str">
        <f ca="1" t="shared" si="11"/>
        <v>TV Jahn Bad Lippspringe</v>
      </c>
      <c r="O83" s="46" t="s">
        <v>319</v>
      </c>
      <c r="P83" s="33">
        <v>34</v>
      </c>
      <c r="Q83" s="45" t="s">
        <v>22</v>
      </c>
      <c r="R83" s="33">
        <v>27</v>
      </c>
      <c r="S83" s="47">
        <f t="shared" si="7"/>
        <v>2</v>
      </c>
      <c r="T83" s="45" t="s">
        <v>22</v>
      </c>
      <c r="U83" s="48">
        <f t="shared" si="8"/>
        <v>0</v>
      </c>
      <c r="W83" s="45" t="s">
        <v>43</v>
      </c>
      <c r="X83" s="45" t="s">
        <v>43</v>
      </c>
      <c r="Z83" s="33" t="s">
        <v>59</v>
      </c>
      <c r="AA83" s="33" t="s">
        <v>19</v>
      </c>
      <c r="AB83" s="3">
        <v>2</v>
      </c>
    </row>
    <row r="84" spans="1:28" ht="12.75">
      <c r="A84" s="33" t="str">
        <f t="shared" si="5"/>
        <v>m151112</v>
      </c>
      <c r="B84" s="62">
        <v>11</v>
      </c>
      <c r="C84" s="49"/>
      <c r="D84" s="49">
        <f t="shared" si="12"/>
        <v>44</v>
      </c>
      <c r="E84" s="49">
        <v>4</v>
      </c>
      <c r="F84" s="50" t="s">
        <v>18</v>
      </c>
      <c r="G84" s="49">
        <v>11</v>
      </c>
      <c r="H84" s="51" t="str">
        <f ca="1" t="shared" si="9"/>
        <v>SV Werder Bremen</v>
      </c>
      <c r="I84" s="52" t="s">
        <v>23</v>
      </c>
      <c r="J84" s="49">
        <v>12</v>
      </c>
      <c r="K84" s="51" t="str">
        <f ca="1" t="shared" si="10"/>
        <v>MTV Eiche Schönebeck</v>
      </c>
      <c r="L84" s="50" t="s">
        <v>18</v>
      </c>
      <c r="M84" s="49">
        <v>13</v>
      </c>
      <c r="N84" s="51" t="str">
        <f ca="1" t="shared" si="11"/>
        <v>TSV Wuchzenhofen</v>
      </c>
      <c r="O84" s="53" t="s">
        <v>335</v>
      </c>
      <c r="P84" s="49">
        <v>32</v>
      </c>
      <c r="Q84" s="52" t="s">
        <v>22</v>
      </c>
      <c r="R84" s="49">
        <v>23</v>
      </c>
      <c r="S84" s="54">
        <f t="shared" si="7"/>
        <v>2</v>
      </c>
      <c r="T84" s="52" t="s">
        <v>22</v>
      </c>
      <c r="U84" s="55">
        <f t="shared" si="8"/>
        <v>0</v>
      </c>
      <c r="W84" s="52" t="s">
        <v>43</v>
      </c>
      <c r="X84" s="52" t="s">
        <v>43</v>
      </c>
      <c r="Z84" s="33" t="s">
        <v>59</v>
      </c>
      <c r="AA84" s="33" t="s">
        <v>19</v>
      </c>
      <c r="AB84" s="3">
        <v>2</v>
      </c>
    </row>
    <row r="85" spans="1:28" ht="12.75">
      <c r="A85" s="33" t="str">
        <f t="shared" si="5"/>
        <v>w150304</v>
      </c>
      <c r="B85" s="33">
        <f>+B81+1</f>
        <v>12</v>
      </c>
      <c r="C85" s="42">
        <f>+Daten!N16</f>
        <v>0.6006944444444445</v>
      </c>
      <c r="D85" s="33">
        <f t="shared" si="12"/>
        <v>45</v>
      </c>
      <c r="E85" s="33">
        <v>1</v>
      </c>
      <c r="F85" s="43" t="s">
        <v>17</v>
      </c>
      <c r="G85" s="33">
        <v>3</v>
      </c>
      <c r="H85" s="44" t="str">
        <f ca="1" t="shared" si="9"/>
        <v>TV Kierdorf 1962</v>
      </c>
      <c r="I85" s="45" t="s">
        <v>23</v>
      </c>
      <c r="J85" s="33">
        <v>4</v>
      </c>
      <c r="K85" s="44" t="str">
        <f ca="1" t="shared" si="10"/>
        <v>TV Winterhagen</v>
      </c>
      <c r="L85" s="43" t="s">
        <v>17</v>
      </c>
      <c r="M85" s="33">
        <v>5</v>
      </c>
      <c r="N85" s="44" t="str">
        <f ca="1" t="shared" si="11"/>
        <v>SV Diepoldshofen</v>
      </c>
      <c r="O85" s="46" t="s">
        <v>336</v>
      </c>
      <c r="P85" s="33">
        <v>29</v>
      </c>
      <c r="Q85" s="45" t="s">
        <v>22</v>
      </c>
      <c r="R85" s="33">
        <v>40</v>
      </c>
      <c r="S85" s="47">
        <f t="shared" si="7"/>
        <v>0</v>
      </c>
      <c r="T85" s="45" t="s">
        <v>22</v>
      </c>
      <c r="U85" s="48">
        <f t="shared" si="8"/>
        <v>2</v>
      </c>
      <c r="W85" s="45" t="s">
        <v>43</v>
      </c>
      <c r="X85" s="45" t="s">
        <v>43</v>
      </c>
      <c r="Z85" s="33" t="s">
        <v>59</v>
      </c>
      <c r="AA85" s="33" t="s">
        <v>19</v>
      </c>
      <c r="AB85" s="3">
        <v>3</v>
      </c>
    </row>
    <row r="86" spans="1:28" ht="12.75">
      <c r="A86" s="33" t="str">
        <f t="shared" si="5"/>
        <v>w151314</v>
      </c>
      <c r="B86" s="61">
        <v>12</v>
      </c>
      <c r="C86" s="33"/>
      <c r="D86" s="33">
        <f t="shared" si="12"/>
        <v>46</v>
      </c>
      <c r="E86" s="33">
        <v>2</v>
      </c>
      <c r="F86" s="43" t="s">
        <v>17</v>
      </c>
      <c r="G86" s="33">
        <v>13</v>
      </c>
      <c r="H86" s="44" t="str">
        <f ca="1" t="shared" si="9"/>
        <v>TSV Wuchzenhofen</v>
      </c>
      <c r="I86" s="45" t="s">
        <v>23</v>
      </c>
      <c r="J86" s="33">
        <v>14</v>
      </c>
      <c r="K86" s="44" t="str">
        <f ca="1" t="shared" si="10"/>
        <v>TSV Babenhausen</v>
      </c>
      <c r="L86" s="43" t="s">
        <v>17</v>
      </c>
      <c r="M86" s="33">
        <v>15</v>
      </c>
      <c r="N86" s="44" t="str">
        <f ca="1" t="shared" si="11"/>
        <v>TV Berkenbaum</v>
      </c>
      <c r="O86" s="46" t="s">
        <v>306</v>
      </c>
      <c r="P86" s="33">
        <v>31</v>
      </c>
      <c r="Q86" s="45" t="s">
        <v>22</v>
      </c>
      <c r="R86" s="33">
        <v>32</v>
      </c>
      <c r="S86" s="47">
        <f t="shared" si="7"/>
        <v>0</v>
      </c>
      <c r="T86" s="45" t="s">
        <v>22</v>
      </c>
      <c r="U86" s="48">
        <f t="shared" si="8"/>
        <v>2</v>
      </c>
      <c r="W86" s="45" t="s">
        <v>43</v>
      </c>
      <c r="X86" s="45" t="s">
        <v>43</v>
      </c>
      <c r="Z86" s="33" t="s">
        <v>59</v>
      </c>
      <c r="AA86" s="33" t="s">
        <v>19</v>
      </c>
      <c r="AB86" s="3">
        <v>3</v>
      </c>
    </row>
    <row r="87" spans="1:28" ht="12.75">
      <c r="A87" s="33" t="str">
        <f t="shared" si="5"/>
        <v>m150304</v>
      </c>
      <c r="B87" s="61">
        <v>12</v>
      </c>
      <c r="C87" s="33"/>
      <c r="D87" s="33">
        <f t="shared" si="12"/>
        <v>47</v>
      </c>
      <c r="E87" s="33">
        <v>3</v>
      </c>
      <c r="F87" s="43" t="s">
        <v>18</v>
      </c>
      <c r="G87" s="33">
        <v>3</v>
      </c>
      <c r="H87" s="44" t="str">
        <f ca="1" t="shared" si="9"/>
        <v>TV Jahn Bad Lippspringe</v>
      </c>
      <c r="I87" s="45" t="s">
        <v>23</v>
      </c>
      <c r="J87" s="33">
        <v>4</v>
      </c>
      <c r="K87" s="44" t="str">
        <f ca="1" t="shared" si="10"/>
        <v>TuS Westfalia Dortmund-Sölde</v>
      </c>
      <c r="L87" s="43" t="s">
        <v>18</v>
      </c>
      <c r="M87" s="33">
        <v>5</v>
      </c>
      <c r="N87" s="44" t="str">
        <f ca="1" t="shared" si="11"/>
        <v>VfL Waiblingen</v>
      </c>
      <c r="O87" s="46" t="s">
        <v>337</v>
      </c>
      <c r="P87" s="33">
        <v>24</v>
      </c>
      <c r="Q87" s="45" t="s">
        <v>22</v>
      </c>
      <c r="R87" s="33">
        <v>31</v>
      </c>
      <c r="S87" s="47">
        <f t="shared" si="7"/>
        <v>0</v>
      </c>
      <c r="T87" s="45" t="s">
        <v>22</v>
      </c>
      <c r="U87" s="48">
        <f t="shared" si="8"/>
        <v>2</v>
      </c>
      <c r="W87" s="45" t="s">
        <v>43</v>
      </c>
      <c r="X87" s="45" t="s">
        <v>43</v>
      </c>
      <c r="Z87" s="33" t="s">
        <v>59</v>
      </c>
      <c r="AA87" s="33" t="s">
        <v>19</v>
      </c>
      <c r="AB87" s="3">
        <v>4</v>
      </c>
    </row>
    <row r="88" spans="1:28" ht="12.75">
      <c r="A88" s="33" t="str">
        <f t="shared" si="5"/>
        <v>m151314</v>
      </c>
      <c r="B88" s="62">
        <v>12</v>
      </c>
      <c r="C88" s="49"/>
      <c r="D88" s="49">
        <f t="shared" si="12"/>
        <v>48</v>
      </c>
      <c r="E88" s="49">
        <v>4</v>
      </c>
      <c r="F88" s="50" t="s">
        <v>18</v>
      </c>
      <c r="G88" s="49">
        <v>13</v>
      </c>
      <c r="H88" s="51" t="str">
        <f ca="1" t="shared" si="9"/>
        <v>TSV Wuchzenhofen</v>
      </c>
      <c r="I88" s="52" t="s">
        <v>23</v>
      </c>
      <c r="J88" s="49">
        <v>14</v>
      </c>
      <c r="K88" s="51" t="str">
        <f ca="1" t="shared" si="10"/>
        <v>TV Rieschweiler</v>
      </c>
      <c r="L88" s="50" t="s">
        <v>18</v>
      </c>
      <c r="M88" s="49">
        <v>15</v>
      </c>
      <c r="N88" s="51" t="str">
        <f ca="1" t="shared" si="11"/>
        <v>TV Kierdorf 1962</v>
      </c>
      <c r="O88" s="53" t="s">
        <v>338</v>
      </c>
      <c r="P88" s="49">
        <v>40</v>
      </c>
      <c r="Q88" s="52" t="s">
        <v>22</v>
      </c>
      <c r="R88" s="49">
        <v>44</v>
      </c>
      <c r="S88" s="54">
        <f t="shared" si="7"/>
        <v>0</v>
      </c>
      <c r="T88" s="52" t="s">
        <v>22</v>
      </c>
      <c r="U88" s="55">
        <f t="shared" si="8"/>
        <v>2</v>
      </c>
      <c r="W88" s="52" t="s">
        <v>43</v>
      </c>
      <c r="X88" s="52" t="s">
        <v>43</v>
      </c>
      <c r="Z88" s="33" t="s">
        <v>59</v>
      </c>
      <c r="AA88" s="33" t="s">
        <v>19</v>
      </c>
      <c r="AB88" s="3">
        <v>4</v>
      </c>
    </row>
    <row r="89" spans="1:28" ht="12.75">
      <c r="A89" s="33" t="str">
        <f t="shared" si="5"/>
        <v>w150105</v>
      </c>
      <c r="B89" s="33">
        <f>+B85+1</f>
        <v>13</v>
      </c>
      <c r="C89" s="42">
        <f>+Daten!N17</f>
        <v>0.6180555555555557</v>
      </c>
      <c r="D89" s="33">
        <f t="shared" si="12"/>
        <v>49</v>
      </c>
      <c r="E89" s="33">
        <v>1</v>
      </c>
      <c r="F89" s="43" t="s">
        <v>17</v>
      </c>
      <c r="G89" s="33">
        <v>1</v>
      </c>
      <c r="H89" s="44" t="str">
        <f ca="1" t="shared" si="9"/>
        <v>MTV Wohnste</v>
      </c>
      <c r="I89" s="45" t="s">
        <v>23</v>
      </c>
      <c r="J89" s="33">
        <v>5</v>
      </c>
      <c r="K89" s="44" t="str">
        <f ca="1" t="shared" si="10"/>
        <v>SV Diepoldshofen</v>
      </c>
      <c r="L89" s="43" t="s">
        <v>17</v>
      </c>
      <c r="M89" s="33">
        <v>2</v>
      </c>
      <c r="N89" s="44" t="str">
        <f ca="1" t="shared" si="11"/>
        <v>MTV Eiche Schönebeck</v>
      </c>
      <c r="O89" s="46" t="s">
        <v>339</v>
      </c>
      <c r="P89" s="33">
        <v>37</v>
      </c>
      <c r="Q89" s="45" t="s">
        <v>22</v>
      </c>
      <c r="R89" s="33">
        <v>31</v>
      </c>
      <c r="S89" s="47">
        <f aca="true" t="shared" si="13" ref="S89:S121">IF(P89="","",IF(P89&gt;R89,2,IF(P89&lt;R89,0,1)))</f>
        <v>2</v>
      </c>
      <c r="T89" s="45" t="s">
        <v>22</v>
      </c>
      <c r="U89" s="48">
        <f aca="true" t="shared" si="14" ref="U89:U121">IF(R89="","",IF(R89&gt;P89,2,IF(R89&lt;P89,0,1)))</f>
        <v>0</v>
      </c>
      <c r="W89" s="45" t="s">
        <v>43</v>
      </c>
      <c r="X89" s="45" t="s">
        <v>43</v>
      </c>
      <c r="Z89" s="33" t="s">
        <v>59</v>
      </c>
      <c r="AA89" s="33" t="s">
        <v>19</v>
      </c>
      <c r="AB89" s="3">
        <v>5</v>
      </c>
    </row>
    <row r="90" spans="1:28" ht="12.75">
      <c r="A90" s="33" t="str">
        <f aca="true" t="shared" si="15" ref="A90:A120">F90&amp;TEXT(G90,"00")&amp;TEXT(J90,"00")</f>
        <v>w151115</v>
      </c>
      <c r="B90" s="61">
        <v>13</v>
      </c>
      <c r="C90" s="33"/>
      <c r="D90" s="33">
        <f aca="true" t="shared" si="16" ref="D90:D105">+D89+1</f>
        <v>50</v>
      </c>
      <c r="E90" s="33">
        <v>2</v>
      </c>
      <c r="F90" s="43" t="s">
        <v>17</v>
      </c>
      <c r="G90" s="33">
        <v>11</v>
      </c>
      <c r="H90" s="44" t="str">
        <f ca="1" t="shared" si="9"/>
        <v>TV Sottrum</v>
      </c>
      <c r="I90" s="45" t="s">
        <v>23</v>
      </c>
      <c r="J90" s="33">
        <v>15</v>
      </c>
      <c r="K90" s="44" t="str">
        <f ca="1" t="shared" si="10"/>
        <v>TV Berkenbaum</v>
      </c>
      <c r="L90" s="43" t="s">
        <v>17</v>
      </c>
      <c r="M90" s="33">
        <v>12</v>
      </c>
      <c r="N90" s="44" t="str">
        <f ca="1" t="shared" si="11"/>
        <v>TuS Concordia Hülsede</v>
      </c>
      <c r="O90" s="46" t="s">
        <v>340</v>
      </c>
      <c r="P90" s="33">
        <v>33</v>
      </c>
      <c r="Q90" s="45" t="s">
        <v>22</v>
      </c>
      <c r="R90" s="33">
        <v>23</v>
      </c>
      <c r="S90" s="47">
        <f t="shared" si="13"/>
        <v>2</v>
      </c>
      <c r="T90" s="45" t="s">
        <v>22</v>
      </c>
      <c r="U90" s="48">
        <f t="shared" si="14"/>
        <v>0</v>
      </c>
      <c r="W90" s="45" t="s">
        <v>43</v>
      </c>
      <c r="X90" s="45" t="s">
        <v>43</v>
      </c>
      <c r="Z90" s="33" t="s">
        <v>59</v>
      </c>
      <c r="AA90" s="33" t="s">
        <v>19</v>
      </c>
      <c r="AB90" s="3">
        <v>5</v>
      </c>
    </row>
    <row r="91" spans="1:28" ht="12.75">
      <c r="A91" s="33" t="str">
        <f t="shared" si="15"/>
        <v>m150105</v>
      </c>
      <c r="B91" s="61">
        <v>13</v>
      </c>
      <c r="C91" s="33"/>
      <c r="D91" s="33">
        <f t="shared" si="16"/>
        <v>51</v>
      </c>
      <c r="E91" s="33">
        <v>3</v>
      </c>
      <c r="F91" s="43" t="s">
        <v>18</v>
      </c>
      <c r="G91" s="33">
        <v>1</v>
      </c>
      <c r="H91" s="44" t="str">
        <f ca="1" t="shared" si="9"/>
        <v>TV Sottrum</v>
      </c>
      <c r="I91" s="45" t="s">
        <v>23</v>
      </c>
      <c r="J91" s="33">
        <v>5</v>
      </c>
      <c r="K91" s="44" t="str">
        <f ca="1" t="shared" si="10"/>
        <v>VfL Waiblingen</v>
      </c>
      <c r="L91" s="43" t="s">
        <v>18</v>
      </c>
      <c r="M91" s="33">
        <v>2</v>
      </c>
      <c r="N91" s="44" t="str">
        <f ca="1" t="shared" si="11"/>
        <v>TuS Aschen-Strang</v>
      </c>
      <c r="O91" s="46" t="s">
        <v>300</v>
      </c>
      <c r="P91" s="33">
        <v>40</v>
      </c>
      <c r="Q91" s="45" t="s">
        <v>22</v>
      </c>
      <c r="R91" s="33">
        <v>20</v>
      </c>
      <c r="S91" s="47">
        <f t="shared" si="13"/>
        <v>2</v>
      </c>
      <c r="T91" s="45" t="s">
        <v>22</v>
      </c>
      <c r="U91" s="48">
        <f t="shared" si="14"/>
        <v>0</v>
      </c>
      <c r="W91" s="45" t="s">
        <v>43</v>
      </c>
      <c r="X91" s="45" t="s">
        <v>43</v>
      </c>
      <c r="Z91" s="33" t="s">
        <v>59</v>
      </c>
      <c r="AA91" s="33" t="s">
        <v>19</v>
      </c>
      <c r="AB91" s="3">
        <v>6</v>
      </c>
    </row>
    <row r="92" spans="1:28" ht="12.75">
      <c r="A92" s="33" t="str">
        <f t="shared" si="15"/>
        <v>m151115</v>
      </c>
      <c r="B92" s="62">
        <v>13</v>
      </c>
      <c r="C92" s="49"/>
      <c r="D92" s="49">
        <f t="shared" si="16"/>
        <v>52</v>
      </c>
      <c r="E92" s="49">
        <v>4</v>
      </c>
      <c r="F92" s="50" t="s">
        <v>18</v>
      </c>
      <c r="G92" s="49">
        <v>11</v>
      </c>
      <c r="H92" s="51" t="str">
        <f ca="1" t="shared" si="9"/>
        <v>SV Werder Bremen</v>
      </c>
      <c r="I92" s="52" t="s">
        <v>23</v>
      </c>
      <c r="J92" s="49">
        <v>15</v>
      </c>
      <c r="K92" s="51" t="str">
        <f ca="1" t="shared" si="10"/>
        <v>TV Kierdorf 1962</v>
      </c>
      <c r="L92" s="50" t="s">
        <v>18</v>
      </c>
      <c r="M92" s="49">
        <v>12</v>
      </c>
      <c r="N92" s="51" t="str">
        <f ca="1" t="shared" si="11"/>
        <v>MTV Eiche Schönebeck</v>
      </c>
      <c r="O92" s="53" t="s">
        <v>341</v>
      </c>
      <c r="P92" s="49">
        <v>28</v>
      </c>
      <c r="Q92" s="52" t="s">
        <v>22</v>
      </c>
      <c r="R92" s="49">
        <v>36</v>
      </c>
      <c r="S92" s="54">
        <f t="shared" si="13"/>
        <v>0</v>
      </c>
      <c r="T92" s="52" t="s">
        <v>22</v>
      </c>
      <c r="U92" s="55">
        <f t="shared" si="14"/>
        <v>2</v>
      </c>
      <c r="W92" s="52" t="s">
        <v>43</v>
      </c>
      <c r="X92" s="52" t="s">
        <v>43</v>
      </c>
      <c r="Z92" s="33" t="s">
        <v>59</v>
      </c>
      <c r="AA92" s="33" t="s">
        <v>19</v>
      </c>
      <c r="AB92" s="3">
        <v>6</v>
      </c>
    </row>
    <row r="93" spans="1:28" ht="12.75">
      <c r="A93" s="33" t="str">
        <f t="shared" si="15"/>
        <v>w150203</v>
      </c>
      <c r="B93" s="33">
        <f>+B89+1</f>
        <v>14</v>
      </c>
      <c r="C93" s="42">
        <f>+Daten!N18</f>
        <v>0.6354166666666669</v>
      </c>
      <c r="D93" s="33">
        <f t="shared" si="16"/>
        <v>53</v>
      </c>
      <c r="E93" s="33">
        <v>1</v>
      </c>
      <c r="F93" s="43" t="s">
        <v>17</v>
      </c>
      <c r="G93" s="33">
        <v>2</v>
      </c>
      <c r="H93" s="44" t="str">
        <f ca="1" t="shared" si="9"/>
        <v>MTV Eiche Schönebeck</v>
      </c>
      <c r="I93" s="45" t="s">
        <v>23</v>
      </c>
      <c r="J93" s="33">
        <v>3</v>
      </c>
      <c r="K93" s="44" t="str">
        <f ca="1" t="shared" si="10"/>
        <v>TV Kierdorf 1962</v>
      </c>
      <c r="L93" s="43" t="s">
        <v>17</v>
      </c>
      <c r="M93" s="33">
        <v>4</v>
      </c>
      <c r="N93" s="44" t="str">
        <f ca="1" t="shared" si="11"/>
        <v>TV Winterhagen</v>
      </c>
      <c r="O93" s="46" t="s">
        <v>314</v>
      </c>
      <c r="P93" s="33">
        <v>44</v>
      </c>
      <c r="Q93" s="45" t="s">
        <v>22</v>
      </c>
      <c r="R93" s="33">
        <v>29</v>
      </c>
      <c r="S93" s="47">
        <f t="shared" si="13"/>
        <v>2</v>
      </c>
      <c r="T93" s="45" t="s">
        <v>22</v>
      </c>
      <c r="U93" s="48">
        <f t="shared" si="14"/>
        <v>0</v>
      </c>
      <c r="W93" s="45" t="s">
        <v>43</v>
      </c>
      <c r="X93" s="45" t="s">
        <v>43</v>
      </c>
      <c r="Z93" s="33" t="s">
        <v>59</v>
      </c>
      <c r="AA93" s="33" t="s">
        <v>19</v>
      </c>
      <c r="AB93" s="3">
        <v>7</v>
      </c>
    </row>
    <row r="94" spans="1:28" ht="12.75">
      <c r="A94" s="33" t="str">
        <f t="shared" si="15"/>
        <v>w151213</v>
      </c>
      <c r="B94" s="61">
        <v>14</v>
      </c>
      <c r="C94" s="33"/>
      <c r="D94" s="33">
        <f t="shared" si="16"/>
        <v>54</v>
      </c>
      <c r="E94" s="33">
        <v>2</v>
      </c>
      <c r="F94" s="43" t="s">
        <v>17</v>
      </c>
      <c r="G94" s="33">
        <v>12</v>
      </c>
      <c r="H94" s="44" t="str">
        <f ca="1" t="shared" si="9"/>
        <v>TuS Concordia Hülsede</v>
      </c>
      <c r="I94" s="45" t="s">
        <v>23</v>
      </c>
      <c r="J94" s="33">
        <v>13</v>
      </c>
      <c r="K94" s="44" t="str">
        <f ca="1" t="shared" si="10"/>
        <v>TSV Wuchzenhofen</v>
      </c>
      <c r="L94" s="43" t="s">
        <v>17</v>
      </c>
      <c r="M94" s="33">
        <v>14</v>
      </c>
      <c r="N94" s="44" t="str">
        <f ca="1" t="shared" si="11"/>
        <v>TSV Babenhausen</v>
      </c>
      <c r="O94" s="46" t="s">
        <v>342</v>
      </c>
      <c r="P94" s="33">
        <v>40</v>
      </c>
      <c r="Q94" s="45" t="s">
        <v>22</v>
      </c>
      <c r="R94" s="33">
        <v>25</v>
      </c>
      <c r="S94" s="47">
        <f t="shared" si="13"/>
        <v>2</v>
      </c>
      <c r="T94" s="45" t="s">
        <v>22</v>
      </c>
      <c r="U94" s="48">
        <f t="shared" si="14"/>
        <v>0</v>
      </c>
      <c r="W94" s="45" t="s">
        <v>43</v>
      </c>
      <c r="X94" s="45" t="s">
        <v>43</v>
      </c>
      <c r="Z94" s="33" t="s">
        <v>59</v>
      </c>
      <c r="AA94" s="33" t="s">
        <v>19</v>
      </c>
      <c r="AB94" s="3">
        <v>7</v>
      </c>
    </row>
    <row r="95" spans="1:28" ht="12.75">
      <c r="A95" s="33" t="str">
        <f t="shared" si="15"/>
        <v>m150203</v>
      </c>
      <c r="B95" s="61">
        <v>14</v>
      </c>
      <c r="C95" s="33"/>
      <c r="D95" s="33">
        <f t="shared" si="16"/>
        <v>55</v>
      </c>
      <c r="E95" s="33">
        <v>3</v>
      </c>
      <c r="F95" s="43" t="s">
        <v>18</v>
      </c>
      <c r="G95" s="33">
        <v>2</v>
      </c>
      <c r="H95" s="44" t="str">
        <f ca="1" t="shared" si="9"/>
        <v>TuS Aschen-Strang</v>
      </c>
      <c r="I95" s="45" t="s">
        <v>23</v>
      </c>
      <c r="J95" s="33">
        <v>3</v>
      </c>
      <c r="K95" s="44" t="str">
        <f ca="1" t="shared" si="10"/>
        <v>TV Jahn Bad Lippspringe</v>
      </c>
      <c r="L95" s="43" t="s">
        <v>18</v>
      </c>
      <c r="M95" s="33">
        <v>4</v>
      </c>
      <c r="N95" s="44" t="str">
        <f ca="1" t="shared" si="11"/>
        <v>TuS Westfalia Dortmund-Sölde</v>
      </c>
      <c r="O95" s="46" t="s">
        <v>310</v>
      </c>
      <c r="P95" s="33">
        <v>33</v>
      </c>
      <c r="Q95" s="45" t="s">
        <v>22</v>
      </c>
      <c r="R95" s="33">
        <v>25</v>
      </c>
      <c r="S95" s="47">
        <f t="shared" si="13"/>
        <v>2</v>
      </c>
      <c r="T95" s="45" t="s">
        <v>22</v>
      </c>
      <c r="U95" s="48">
        <f t="shared" si="14"/>
        <v>0</v>
      </c>
      <c r="W95" s="45" t="s">
        <v>43</v>
      </c>
      <c r="X95" s="45" t="s">
        <v>43</v>
      </c>
      <c r="Z95" s="33" t="s">
        <v>59</v>
      </c>
      <c r="AA95" s="33" t="s">
        <v>19</v>
      </c>
      <c r="AB95" s="3">
        <v>8</v>
      </c>
    </row>
    <row r="96" spans="1:28" ht="12.75">
      <c r="A96" s="33" t="str">
        <f t="shared" si="15"/>
        <v>m151213</v>
      </c>
      <c r="B96" s="62">
        <v>14</v>
      </c>
      <c r="C96" s="49"/>
      <c r="D96" s="49">
        <f t="shared" si="16"/>
        <v>56</v>
      </c>
      <c r="E96" s="49">
        <v>4</v>
      </c>
      <c r="F96" s="50" t="s">
        <v>18</v>
      </c>
      <c r="G96" s="49">
        <v>12</v>
      </c>
      <c r="H96" s="51" t="str">
        <f ca="1" t="shared" si="9"/>
        <v>MTV Eiche Schönebeck</v>
      </c>
      <c r="I96" s="52" t="s">
        <v>23</v>
      </c>
      <c r="J96" s="49">
        <v>13</v>
      </c>
      <c r="K96" s="51" t="str">
        <f ca="1" t="shared" si="10"/>
        <v>TSV Wuchzenhofen</v>
      </c>
      <c r="L96" s="50" t="s">
        <v>18</v>
      </c>
      <c r="M96" s="49">
        <v>14</v>
      </c>
      <c r="N96" s="51" t="str">
        <f ca="1" t="shared" si="11"/>
        <v>TV Rieschweiler</v>
      </c>
      <c r="O96" s="53" t="s">
        <v>343</v>
      </c>
      <c r="P96" s="49">
        <v>48</v>
      </c>
      <c r="Q96" s="52" t="s">
        <v>22</v>
      </c>
      <c r="R96" s="49">
        <v>27</v>
      </c>
      <c r="S96" s="54">
        <f t="shared" si="13"/>
        <v>2</v>
      </c>
      <c r="T96" s="52" t="s">
        <v>22</v>
      </c>
      <c r="U96" s="55">
        <f t="shared" si="14"/>
        <v>0</v>
      </c>
      <c r="W96" s="52" t="s">
        <v>43</v>
      </c>
      <c r="X96" s="52" t="s">
        <v>43</v>
      </c>
      <c r="Z96" s="33" t="s">
        <v>59</v>
      </c>
      <c r="AA96" s="33" t="s">
        <v>19</v>
      </c>
      <c r="AB96" s="3">
        <v>8</v>
      </c>
    </row>
    <row r="97" spans="1:28" ht="12.75">
      <c r="A97" s="33" t="str">
        <f t="shared" si="15"/>
        <v>w150405</v>
      </c>
      <c r="B97" s="33">
        <f>+B93+1</f>
        <v>15</v>
      </c>
      <c r="C97" s="42">
        <f>+Daten!N19</f>
        <v>0.652777777777778</v>
      </c>
      <c r="D97" s="33">
        <f t="shared" si="16"/>
        <v>57</v>
      </c>
      <c r="E97" s="33">
        <v>1</v>
      </c>
      <c r="F97" s="43" t="s">
        <v>17</v>
      </c>
      <c r="G97" s="33">
        <v>4</v>
      </c>
      <c r="H97" s="44" t="str">
        <f ca="1" t="shared" si="9"/>
        <v>TV Winterhagen</v>
      </c>
      <c r="I97" s="45" t="s">
        <v>23</v>
      </c>
      <c r="J97" s="33">
        <v>5</v>
      </c>
      <c r="K97" s="44" t="str">
        <f ca="1" t="shared" si="10"/>
        <v>SV Diepoldshofen</v>
      </c>
      <c r="L97" s="43" t="s">
        <v>17</v>
      </c>
      <c r="M97" s="33">
        <v>1</v>
      </c>
      <c r="N97" s="44" t="str">
        <f ca="1" t="shared" si="11"/>
        <v>MTV Wohnste</v>
      </c>
      <c r="O97" s="46" t="s">
        <v>331</v>
      </c>
      <c r="P97" s="33">
        <v>35</v>
      </c>
      <c r="Q97" s="45" t="s">
        <v>22</v>
      </c>
      <c r="R97" s="33">
        <v>27</v>
      </c>
      <c r="S97" s="47">
        <f t="shared" si="13"/>
        <v>2</v>
      </c>
      <c r="T97" s="45" t="s">
        <v>22</v>
      </c>
      <c r="U97" s="48">
        <f t="shared" si="14"/>
        <v>0</v>
      </c>
      <c r="W97" s="45" t="s">
        <v>43</v>
      </c>
      <c r="X97" s="45" t="s">
        <v>43</v>
      </c>
      <c r="Z97" s="33" t="s">
        <v>59</v>
      </c>
      <c r="AA97" s="33" t="s">
        <v>19</v>
      </c>
      <c r="AB97" s="3">
        <v>9</v>
      </c>
    </row>
    <row r="98" spans="1:28" ht="12.75">
      <c r="A98" s="33" t="str">
        <f t="shared" si="15"/>
        <v>w151415</v>
      </c>
      <c r="B98" s="61">
        <v>15</v>
      </c>
      <c r="C98" s="33"/>
      <c r="D98" s="33">
        <f t="shared" si="16"/>
        <v>58</v>
      </c>
      <c r="E98" s="33">
        <v>2</v>
      </c>
      <c r="F98" s="43" t="s">
        <v>17</v>
      </c>
      <c r="G98" s="33">
        <v>14</v>
      </c>
      <c r="H98" s="44" t="str">
        <f ca="1" t="shared" si="9"/>
        <v>TSV Babenhausen</v>
      </c>
      <c r="I98" s="45" t="s">
        <v>23</v>
      </c>
      <c r="J98" s="33">
        <v>15</v>
      </c>
      <c r="K98" s="44" t="str">
        <f ca="1" t="shared" si="10"/>
        <v>TV Berkenbaum</v>
      </c>
      <c r="L98" s="43" t="s">
        <v>17</v>
      </c>
      <c r="M98" s="33">
        <v>11</v>
      </c>
      <c r="N98" s="44" t="str">
        <f ca="1" t="shared" si="11"/>
        <v>TV Sottrum</v>
      </c>
      <c r="O98" s="46" t="s">
        <v>344</v>
      </c>
      <c r="P98" s="33">
        <v>26</v>
      </c>
      <c r="Q98" s="45" t="s">
        <v>22</v>
      </c>
      <c r="R98" s="33">
        <v>25</v>
      </c>
      <c r="S98" s="47">
        <f t="shared" si="13"/>
        <v>2</v>
      </c>
      <c r="T98" s="45" t="s">
        <v>22</v>
      </c>
      <c r="U98" s="48">
        <f t="shared" si="14"/>
        <v>0</v>
      </c>
      <c r="W98" s="45" t="s">
        <v>43</v>
      </c>
      <c r="X98" s="45" t="s">
        <v>43</v>
      </c>
      <c r="Z98" s="33" t="s">
        <v>59</v>
      </c>
      <c r="AA98" s="33" t="s">
        <v>19</v>
      </c>
      <c r="AB98" s="3">
        <v>9</v>
      </c>
    </row>
    <row r="99" spans="1:28" ht="12.75">
      <c r="A99" s="33" t="str">
        <f t="shared" si="15"/>
        <v>m150405</v>
      </c>
      <c r="B99" s="61">
        <v>15</v>
      </c>
      <c r="C99" s="33"/>
      <c r="D99" s="33">
        <f t="shared" si="16"/>
        <v>59</v>
      </c>
      <c r="E99" s="33">
        <v>3</v>
      </c>
      <c r="F99" s="43" t="s">
        <v>18</v>
      </c>
      <c r="G99" s="33">
        <v>4</v>
      </c>
      <c r="H99" s="44" t="str">
        <f ca="1" t="shared" si="9"/>
        <v>TuS Westfalia Dortmund-Sölde</v>
      </c>
      <c r="I99" s="45" t="s">
        <v>23</v>
      </c>
      <c r="J99" s="33">
        <v>5</v>
      </c>
      <c r="K99" s="44" t="str">
        <f ca="1" t="shared" si="10"/>
        <v>VfL Waiblingen</v>
      </c>
      <c r="L99" s="43" t="s">
        <v>18</v>
      </c>
      <c r="M99" s="33">
        <v>1</v>
      </c>
      <c r="N99" s="44" t="str">
        <f ca="1" t="shared" si="11"/>
        <v>TV Sottrum</v>
      </c>
      <c r="O99" s="46" t="s">
        <v>345</v>
      </c>
      <c r="P99" s="33">
        <v>38</v>
      </c>
      <c r="Q99" s="45" t="s">
        <v>22</v>
      </c>
      <c r="R99" s="33">
        <v>24</v>
      </c>
      <c r="S99" s="47">
        <f t="shared" si="13"/>
        <v>2</v>
      </c>
      <c r="T99" s="45" t="s">
        <v>22</v>
      </c>
      <c r="U99" s="48">
        <f t="shared" si="14"/>
        <v>0</v>
      </c>
      <c r="W99" s="45" t="s">
        <v>43</v>
      </c>
      <c r="X99" s="45" t="s">
        <v>43</v>
      </c>
      <c r="Z99" s="33" t="s">
        <v>59</v>
      </c>
      <c r="AA99" s="33" t="s">
        <v>19</v>
      </c>
      <c r="AB99" s="3">
        <v>10</v>
      </c>
    </row>
    <row r="100" spans="1:28" ht="12.75">
      <c r="A100" s="33" t="str">
        <f t="shared" si="15"/>
        <v>m151415</v>
      </c>
      <c r="B100" s="62">
        <v>15</v>
      </c>
      <c r="C100" s="49"/>
      <c r="D100" s="49">
        <f t="shared" si="16"/>
        <v>60</v>
      </c>
      <c r="E100" s="49">
        <v>4</v>
      </c>
      <c r="F100" s="50" t="s">
        <v>18</v>
      </c>
      <c r="G100" s="49">
        <v>14</v>
      </c>
      <c r="H100" s="51" t="str">
        <f ca="1" t="shared" si="9"/>
        <v>TV Rieschweiler</v>
      </c>
      <c r="I100" s="52" t="s">
        <v>23</v>
      </c>
      <c r="J100" s="49">
        <v>15</v>
      </c>
      <c r="K100" s="51" t="str">
        <f ca="1" t="shared" si="10"/>
        <v>TV Kierdorf 1962</v>
      </c>
      <c r="L100" s="50" t="s">
        <v>18</v>
      </c>
      <c r="M100" s="49">
        <v>11</v>
      </c>
      <c r="N100" s="51" t="str">
        <f ca="1" t="shared" si="11"/>
        <v>SV Werder Bremen</v>
      </c>
      <c r="O100" s="53" t="s">
        <v>346</v>
      </c>
      <c r="P100" s="49">
        <v>39</v>
      </c>
      <c r="Q100" s="52" t="s">
        <v>22</v>
      </c>
      <c r="R100" s="49">
        <v>33</v>
      </c>
      <c r="S100" s="54">
        <f t="shared" si="13"/>
        <v>2</v>
      </c>
      <c r="T100" s="52" t="s">
        <v>22</v>
      </c>
      <c r="U100" s="55">
        <f t="shared" si="14"/>
        <v>0</v>
      </c>
      <c r="W100" s="52" t="s">
        <v>43</v>
      </c>
      <c r="X100" s="52" t="s">
        <v>43</v>
      </c>
      <c r="Z100" s="33" t="s">
        <v>59</v>
      </c>
      <c r="AA100" s="33" t="s">
        <v>19</v>
      </c>
      <c r="AB100" s="3">
        <v>10</v>
      </c>
    </row>
    <row r="101" spans="1:28" ht="12.75">
      <c r="A101" s="33" t="str">
        <f t="shared" si="15"/>
        <v>w150103</v>
      </c>
      <c r="B101" s="33">
        <f>+B97+1</f>
        <v>16</v>
      </c>
      <c r="C101" s="42">
        <f>+Daten!N20</f>
        <v>0.6701388888888892</v>
      </c>
      <c r="D101" s="33">
        <f t="shared" si="16"/>
        <v>61</v>
      </c>
      <c r="E101" s="33">
        <v>1</v>
      </c>
      <c r="F101" s="43" t="s">
        <v>17</v>
      </c>
      <c r="G101" s="33">
        <v>1</v>
      </c>
      <c r="H101" s="44" t="str">
        <f ca="1" t="shared" si="9"/>
        <v>MTV Wohnste</v>
      </c>
      <c r="I101" s="45" t="s">
        <v>23</v>
      </c>
      <c r="J101" s="33">
        <v>3</v>
      </c>
      <c r="K101" s="44" t="str">
        <f ca="1" t="shared" si="10"/>
        <v>TV Kierdorf 1962</v>
      </c>
      <c r="L101" s="43" t="s">
        <v>17</v>
      </c>
      <c r="M101" s="33">
        <v>2</v>
      </c>
      <c r="N101" s="44" t="str">
        <f ca="1" t="shared" si="11"/>
        <v>MTV Eiche Schönebeck</v>
      </c>
      <c r="O101" s="46" t="s">
        <v>347</v>
      </c>
      <c r="P101" s="33">
        <v>43</v>
      </c>
      <c r="Q101" s="45" t="s">
        <v>22</v>
      </c>
      <c r="R101" s="33">
        <v>26</v>
      </c>
      <c r="S101" s="47">
        <f t="shared" si="13"/>
        <v>2</v>
      </c>
      <c r="T101" s="45" t="s">
        <v>22</v>
      </c>
      <c r="U101" s="48">
        <f t="shared" si="14"/>
        <v>0</v>
      </c>
      <c r="W101" s="45" t="s">
        <v>43</v>
      </c>
      <c r="X101" s="45" t="s">
        <v>43</v>
      </c>
      <c r="Z101" s="33" t="s">
        <v>59</v>
      </c>
      <c r="AA101" s="33" t="s">
        <v>19</v>
      </c>
      <c r="AB101" s="3">
        <v>11</v>
      </c>
    </row>
    <row r="102" spans="1:28" ht="12.75">
      <c r="A102" s="33" t="str">
        <f t="shared" si="15"/>
        <v>w151113</v>
      </c>
      <c r="B102" s="61">
        <v>16</v>
      </c>
      <c r="C102" s="33"/>
      <c r="D102" s="33">
        <f t="shared" si="16"/>
        <v>62</v>
      </c>
      <c r="E102" s="33">
        <v>2</v>
      </c>
      <c r="F102" s="43" t="s">
        <v>17</v>
      </c>
      <c r="G102" s="33">
        <v>11</v>
      </c>
      <c r="H102" s="44" t="str">
        <f ca="1" t="shared" si="9"/>
        <v>TV Sottrum</v>
      </c>
      <c r="I102" s="45" t="s">
        <v>23</v>
      </c>
      <c r="J102" s="33">
        <v>13</v>
      </c>
      <c r="K102" s="44" t="str">
        <f ca="1" t="shared" si="10"/>
        <v>TSV Wuchzenhofen</v>
      </c>
      <c r="L102" s="43" t="s">
        <v>17</v>
      </c>
      <c r="M102" s="33">
        <v>12</v>
      </c>
      <c r="N102" s="44" t="str">
        <f ca="1" t="shared" si="11"/>
        <v>TuS Concordia Hülsede</v>
      </c>
      <c r="O102" s="46" t="s">
        <v>348</v>
      </c>
      <c r="P102" s="33">
        <v>40</v>
      </c>
      <c r="Q102" s="45" t="s">
        <v>22</v>
      </c>
      <c r="R102" s="33">
        <v>21</v>
      </c>
      <c r="S102" s="47">
        <f t="shared" si="13"/>
        <v>2</v>
      </c>
      <c r="T102" s="45" t="s">
        <v>22</v>
      </c>
      <c r="U102" s="48">
        <f t="shared" si="14"/>
        <v>0</v>
      </c>
      <c r="W102" s="45" t="s">
        <v>43</v>
      </c>
      <c r="X102" s="45" t="s">
        <v>43</v>
      </c>
      <c r="Z102" s="33" t="s">
        <v>59</v>
      </c>
      <c r="AA102" s="33" t="s">
        <v>19</v>
      </c>
      <c r="AB102" s="3">
        <v>11</v>
      </c>
    </row>
    <row r="103" spans="1:28" ht="12.75">
      <c r="A103" s="33" t="str">
        <f t="shared" si="15"/>
        <v>m150103</v>
      </c>
      <c r="B103" s="61">
        <v>16</v>
      </c>
      <c r="C103" s="33"/>
      <c r="D103" s="33">
        <f t="shared" si="16"/>
        <v>63</v>
      </c>
      <c r="E103" s="33">
        <v>3</v>
      </c>
      <c r="F103" s="43" t="s">
        <v>18</v>
      </c>
      <c r="G103" s="33">
        <v>1</v>
      </c>
      <c r="H103" s="44" t="str">
        <f ca="1" t="shared" si="9"/>
        <v>TV Sottrum</v>
      </c>
      <c r="I103" s="45" t="s">
        <v>23</v>
      </c>
      <c r="J103" s="33">
        <v>3</v>
      </c>
      <c r="K103" s="44" t="str">
        <f ca="1" t="shared" si="10"/>
        <v>TV Jahn Bad Lippspringe</v>
      </c>
      <c r="L103" s="43" t="s">
        <v>18</v>
      </c>
      <c r="M103" s="33">
        <v>2</v>
      </c>
      <c r="N103" s="44" t="str">
        <f ca="1" t="shared" si="11"/>
        <v>TuS Aschen-Strang</v>
      </c>
      <c r="O103" s="46" t="s">
        <v>349</v>
      </c>
      <c r="P103" s="33">
        <v>31</v>
      </c>
      <c r="Q103" s="45" t="s">
        <v>22</v>
      </c>
      <c r="R103" s="33">
        <v>24</v>
      </c>
      <c r="S103" s="47">
        <f t="shared" si="13"/>
        <v>2</v>
      </c>
      <c r="T103" s="45" t="s">
        <v>22</v>
      </c>
      <c r="U103" s="48">
        <f t="shared" si="14"/>
        <v>0</v>
      </c>
      <c r="W103" s="45" t="s">
        <v>43</v>
      </c>
      <c r="X103" s="45" t="s">
        <v>43</v>
      </c>
      <c r="Z103" s="33" t="s">
        <v>59</v>
      </c>
      <c r="AA103" s="33" t="s">
        <v>19</v>
      </c>
      <c r="AB103" s="3">
        <v>12</v>
      </c>
    </row>
    <row r="104" spans="1:28" ht="12.75">
      <c r="A104" s="33" t="str">
        <f t="shared" si="15"/>
        <v>m151113</v>
      </c>
      <c r="B104" s="62">
        <v>16</v>
      </c>
      <c r="C104" s="49"/>
      <c r="D104" s="49">
        <f t="shared" si="16"/>
        <v>64</v>
      </c>
      <c r="E104" s="49">
        <v>4</v>
      </c>
      <c r="F104" s="50" t="s">
        <v>18</v>
      </c>
      <c r="G104" s="49">
        <v>11</v>
      </c>
      <c r="H104" s="51" t="str">
        <f ca="1" t="shared" si="9"/>
        <v>SV Werder Bremen</v>
      </c>
      <c r="I104" s="52" t="s">
        <v>23</v>
      </c>
      <c r="J104" s="49">
        <v>13</v>
      </c>
      <c r="K104" s="51" t="str">
        <f ca="1" t="shared" si="10"/>
        <v>TSV Wuchzenhofen</v>
      </c>
      <c r="L104" s="50" t="s">
        <v>18</v>
      </c>
      <c r="M104" s="49">
        <v>12</v>
      </c>
      <c r="N104" s="51" t="str">
        <f ca="1" t="shared" si="11"/>
        <v>MTV Eiche Schönebeck</v>
      </c>
      <c r="O104" s="53" t="s">
        <v>350</v>
      </c>
      <c r="P104" s="49">
        <v>36</v>
      </c>
      <c r="Q104" s="52" t="s">
        <v>22</v>
      </c>
      <c r="R104" s="49">
        <v>38</v>
      </c>
      <c r="S104" s="54">
        <f t="shared" si="13"/>
        <v>0</v>
      </c>
      <c r="T104" s="52" t="s">
        <v>22</v>
      </c>
      <c r="U104" s="55">
        <f t="shared" si="14"/>
        <v>2</v>
      </c>
      <c r="W104" s="52" t="s">
        <v>43</v>
      </c>
      <c r="X104" s="52" t="s">
        <v>43</v>
      </c>
      <c r="Z104" s="33" t="s">
        <v>59</v>
      </c>
      <c r="AA104" s="33" t="s">
        <v>19</v>
      </c>
      <c r="AB104" s="3">
        <v>12</v>
      </c>
    </row>
    <row r="105" spans="1:28" ht="12.75">
      <c r="A105" s="33" t="str">
        <f t="shared" si="15"/>
        <v>w150204</v>
      </c>
      <c r="B105" s="33">
        <f>+B101+1</f>
        <v>17</v>
      </c>
      <c r="C105" s="42">
        <f>+Daten!N21</f>
        <v>0.6875000000000003</v>
      </c>
      <c r="D105" s="33">
        <f t="shared" si="16"/>
        <v>65</v>
      </c>
      <c r="E105" s="33">
        <v>1</v>
      </c>
      <c r="F105" s="43" t="s">
        <v>17</v>
      </c>
      <c r="G105" s="33">
        <v>2</v>
      </c>
      <c r="H105" s="44" t="str">
        <f ca="1" t="shared" si="9"/>
        <v>MTV Eiche Schönebeck</v>
      </c>
      <c r="I105" s="45" t="s">
        <v>23</v>
      </c>
      <c r="J105" s="33">
        <v>4</v>
      </c>
      <c r="K105" s="44" t="str">
        <f ca="1" t="shared" si="10"/>
        <v>TV Winterhagen</v>
      </c>
      <c r="L105" s="43" t="s">
        <v>17</v>
      </c>
      <c r="M105" s="33">
        <v>5</v>
      </c>
      <c r="N105" s="44" t="str">
        <f ca="1" t="shared" si="11"/>
        <v>SV Diepoldshofen</v>
      </c>
      <c r="O105" s="46" t="s">
        <v>321</v>
      </c>
      <c r="P105" s="33">
        <v>44</v>
      </c>
      <c r="Q105" s="45" t="s">
        <v>22</v>
      </c>
      <c r="R105" s="33">
        <v>26</v>
      </c>
      <c r="S105" s="47">
        <f t="shared" si="13"/>
        <v>2</v>
      </c>
      <c r="T105" s="45" t="s">
        <v>22</v>
      </c>
      <c r="U105" s="48">
        <f t="shared" si="14"/>
        <v>0</v>
      </c>
      <c r="W105" s="45" t="s">
        <v>43</v>
      </c>
      <c r="X105" s="45" t="s">
        <v>43</v>
      </c>
      <c r="Z105" s="33" t="s">
        <v>59</v>
      </c>
      <c r="AA105" s="33" t="s">
        <v>19</v>
      </c>
      <c r="AB105" s="3">
        <v>13</v>
      </c>
    </row>
    <row r="106" spans="1:28" ht="12.75">
      <c r="A106" s="33" t="str">
        <f t="shared" si="15"/>
        <v>w151214</v>
      </c>
      <c r="B106" s="61">
        <v>17</v>
      </c>
      <c r="C106" s="33"/>
      <c r="D106" s="33">
        <f aca="true" t="shared" si="17" ref="D106:D120">+D105+1</f>
        <v>66</v>
      </c>
      <c r="E106" s="33">
        <v>2</v>
      </c>
      <c r="F106" s="43" t="s">
        <v>17</v>
      </c>
      <c r="G106" s="33">
        <v>12</v>
      </c>
      <c r="H106" s="44" t="str">
        <f ca="1" t="shared" si="9"/>
        <v>TuS Concordia Hülsede</v>
      </c>
      <c r="I106" s="45" t="s">
        <v>23</v>
      </c>
      <c r="J106" s="33">
        <v>14</v>
      </c>
      <c r="K106" s="44" t="str">
        <f ca="1" t="shared" si="10"/>
        <v>TSV Babenhausen</v>
      </c>
      <c r="L106" s="43" t="s">
        <v>17</v>
      </c>
      <c r="M106" s="33">
        <v>15</v>
      </c>
      <c r="N106" s="44" t="str">
        <f ca="1" t="shared" si="11"/>
        <v>TV Berkenbaum</v>
      </c>
      <c r="O106" s="46" t="s">
        <v>324</v>
      </c>
      <c r="P106" s="33">
        <v>36</v>
      </c>
      <c r="Q106" s="45" t="s">
        <v>22</v>
      </c>
      <c r="R106" s="33">
        <v>25</v>
      </c>
      <c r="S106" s="47">
        <f t="shared" si="13"/>
        <v>2</v>
      </c>
      <c r="T106" s="45" t="s">
        <v>22</v>
      </c>
      <c r="U106" s="48">
        <f t="shared" si="14"/>
        <v>0</v>
      </c>
      <c r="W106" s="45" t="s">
        <v>43</v>
      </c>
      <c r="X106" s="45" t="s">
        <v>43</v>
      </c>
      <c r="Z106" s="33" t="s">
        <v>59</v>
      </c>
      <c r="AA106" s="33" t="s">
        <v>19</v>
      </c>
      <c r="AB106" s="3">
        <v>13</v>
      </c>
    </row>
    <row r="107" spans="1:28" ht="12.75">
      <c r="A107" s="33" t="str">
        <f t="shared" si="15"/>
        <v>m150204</v>
      </c>
      <c r="B107" s="61">
        <v>17</v>
      </c>
      <c r="C107" s="33"/>
      <c r="D107" s="33">
        <f t="shared" si="17"/>
        <v>67</v>
      </c>
      <c r="E107" s="33">
        <v>3</v>
      </c>
      <c r="F107" s="43" t="s">
        <v>18</v>
      </c>
      <c r="G107" s="33">
        <v>2</v>
      </c>
      <c r="H107" s="44" t="str">
        <f ca="1" t="shared" si="9"/>
        <v>TuS Aschen-Strang</v>
      </c>
      <c r="I107" s="45" t="s">
        <v>23</v>
      </c>
      <c r="J107" s="33">
        <v>4</v>
      </c>
      <c r="K107" s="44" t="str">
        <f ca="1" t="shared" si="10"/>
        <v>TuS Westfalia Dortmund-Sölde</v>
      </c>
      <c r="L107" s="43" t="s">
        <v>18</v>
      </c>
      <c r="M107" s="33">
        <v>5</v>
      </c>
      <c r="N107" s="44" t="str">
        <f ca="1" t="shared" si="11"/>
        <v>VfL Waiblingen</v>
      </c>
      <c r="O107" s="46" t="s">
        <v>351</v>
      </c>
      <c r="P107" s="33">
        <v>24</v>
      </c>
      <c r="Q107" s="45" t="s">
        <v>22</v>
      </c>
      <c r="R107" s="33">
        <v>38</v>
      </c>
      <c r="S107" s="47">
        <f t="shared" si="13"/>
        <v>0</v>
      </c>
      <c r="T107" s="45" t="s">
        <v>22</v>
      </c>
      <c r="U107" s="48">
        <f t="shared" si="14"/>
        <v>2</v>
      </c>
      <c r="W107" s="45" t="s">
        <v>43</v>
      </c>
      <c r="X107" s="45" t="s">
        <v>43</v>
      </c>
      <c r="Z107" s="33" t="s">
        <v>59</v>
      </c>
      <c r="AA107" s="33" t="s">
        <v>19</v>
      </c>
      <c r="AB107" s="3">
        <v>14</v>
      </c>
    </row>
    <row r="108" spans="1:28" ht="12.75">
      <c r="A108" s="33" t="str">
        <f t="shared" si="15"/>
        <v>m151214</v>
      </c>
      <c r="B108" s="62">
        <v>17</v>
      </c>
      <c r="C108" s="49"/>
      <c r="D108" s="49">
        <f t="shared" si="17"/>
        <v>68</v>
      </c>
      <c r="E108" s="49">
        <v>4</v>
      </c>
      <c r="F108" s="50" t="s">
        <v>18</v>
      </c>
      <c r="G108" s="49">
        <v>12</v>
      </c>
      <c r="H108" s="51" t="str">
        <f ca="1" t="shared" si="9"/>
        <v>MTV Eiche Schönebeck</v>
      </c>
      <c r="I108" s="52" t="s">
        <v>23</v>
      </c>
      <c r="J108" s="49">
        <v>14</v>
      </c>
      <c r="K108" s="51" t="str">
        <f ca="1" t="shared" si="10"/>
        <v>TV Rieschweiler</v>
      </c>
      <c r="L108" s="50" t="s">
        <v>18</v>
      </c>
      <c r="M108" s="49">
        <v>15</v>
      </c>
      <c r="N108" s="51" t="str">
        <f ca="1" t="shared" si="11"/>
        <v>TV Kierdorf 1962</v>
      </c>
      <c r="O108" s="53" t="s">
        <v>352</v>
      </c>
      <c r="P108" s="49">
        <v>30</v>
      </c>
      <c r="Q108" s="52" t="s">
        <v>22</v>
      </c>
      <c r="R108" s="49">
        <v>33</v>
      </c>
      <c r="S108" s="54">
        <f t="shared" si="13"/>
        <v>0</v>
      </c>
      <c r="T108" s="52" t="s">
        <v>22</v>
      </c>
      <c r="U108" s="55">
        <f t="shared" si="14"/>
        <v>2</v>
      </c>
      <c r="W108" s="52" t="s">
        <v>43</v>
      </c>
      <c r="X108" s="52" t="s">
        <v>43</v>
      </c>
      <c r="Z108" s="33" t="s">
        <v>59</v>
      </c>
      <c r="AA108" s="33" t="s">
        <v>19</v>
      </c>
      <c r="AB108" s="3">
        <v>14</v>
      </c>
    </row>
    <row r="109" spans="1:28" ht="12.75">
      <c r="A109" s="33" t="str">
        <f t="shared" si="15"/>
        <v>w150305</v>
      </c>
      <c r="B109" s="33">
        <f>+B105+1</f>
        <v>18</v>
      </c>
      <c r="C109" s="42">
        <f>+Daten!N22</f>
        <v>0.7048611111111115</v>
      </c>
      <c r="D109" s="33">
        <f t="shared" si="17"/>
        <v>69</v>
      </c>
      <c r="E109" s="33">
        <v>1</v>
      </c>
      <c r="F109" s="43" t="s">
        <v>17</v>
      </c>
      <c r="G109" s="33">
        <v>3</v>
      </c>
      <c r="H109" s="44" t="str">
        <f ca="1" t="shared" si="9"/>
        <v>TV Kierdorf 1962</v>
      </c>
      <c r="I109" s="45" t="s">
        <v>23</v>
      </c>
      <c r="J109" s="33">
        <v>5</v>
      </c>
      <c r="K109" s="44" t="str">
        <f ca="1" t="shared" si="10"/>
        <v>SV Diepoldshofen</v>
      </c>
      <c r="L109" s="43" t="s">
        <v>17</v>
      </c>
      <c r="M109" s="33">
        <v>1</v>
      </c>
      <c r="N109" s="44" t="str">
        <f ca="1" t="shared" si="11"/>
        <v>MTV Wohnste</v>
      </c>
      <c r="O109" s="46" t="s">
        <v>334</v>
      </c>
      <c r="P109" s="33">
        <v>28</v>
      </c>
      <c r="Q109" s="45" t="s">
        <v>22</v>
      </c>
      <c r="R109" s="33">
        <v>39</v>
      </c>
      <c r="S109" s="47">
        <f t="shared" si="13"/>
        <v>0</v>
      </c>
      <c r="T109" s="45" t="s">
        <v>22</v>
      </c>
      <c r="U109" s="48">
        <f t="shared" si="14"/>
        <v>2</v>
      </c>
      <c r="W109" s="45" t="s">
        <v>43</v>
      </c>
      <c r="X109" s="45" t="s">
        <v>43</v>
      </c>
      <c r="Z109" s="33" t="s">
        <v>59</v>
      </c>
      <c r="AA109" s="33" t="s">
        <v>19</v>
      </c>
      <c r="AB109" s="3">
        <v>15</v>
      </c>
    </row>
    <row r="110" spans="1:28" ht="12.75">
      <c r="A110" s="33" t="str">
        <f t="shared" si="15"/>
        <v>w151315</v>
      </c>
      <c r="B110" s="61">
        <v>18</v>
      </c>
      <c r="C110" s="33"/>
      <c r="D110" s="33">
        <f t="shared" si="17"/>
        <v>70</v>
      </c>
      <c r="E110" s="33">
        <v>2</v>
      </c>
      <c r="F110" s="43" t="s">
        <v>17</v>
      </c>
      <c r="G110" s="33">
        <v>13</v>
      </c>
      <c r="H110" s="44" t="str">
        <f ca="1" t="shared" si="9"/>
        <v>TSV Wuchzenhofen</v>
      </c>
      <c r="I110" s="45" t="s">
        <v>23</v>
      </c>
      <c r="J110" s="33">
        <v>15</v>
      </c>
      <c r="K110" s="44" t="str">
        <f ca="1" t="shared" si="10"/>
        <v>TV Berkenbaum</v>
      </c>
      <c r="L110" s="43" t="s">
        <v>17</v>
      </c>
      <c r="M110" s="33">
        <v>11</v>
      </c>
      <c r="N110" s="44" t="str">
        <f ca="1" t="shared" si="11"/>
        <v>TV Sottrum</v>
      </c>
      <c r="O110" s="46" t="s">
        <v>340</v>
      </c>
      <c r="P110" s="33">
        <v>31</v>
      </c>
      <c r="Q110" s="45" t="s">
        <v>22</v>
      </c>
      <c r="R110" s="33">
        <v>27</v>
      </c>
      <c r="S110" s="47">
        <f t="shared" si="13"/>
        <v>2</v>
      </c>
      <c r="T110" s="45" t="s">
        <v>22</v>
      </c>
      <c r="U110" s="48">
        <f t="shared" si="14"/>
        <v>0</v>
      </c>
      <c r="W110" s="45" t="s">
        <v>43</v>
      </c>
      <c r="X110" s="45" t="s">
        <v>43</v>
      </c>
      <c r="Z110" s="33" t="s">
        <v>59</v>
      </c>
      <c r="AA110" s="33" t="s">
        <v>19</v>
      </c>
      <c r="AB110" s="3">
        <v>15</v>
      </c>
    </row>
    <row r="111" spans="1:28" ht="12.75">
      <c r="A111" s="33" t="str">
        <f t="shared" si="15"/>
        <v>m150305</v>
      </c>
      <c r="B111" s="61">
        <v>18</v>
      </c>
      <c r="C111" s="33"/>
      <c r="D111" s="33">
        <f t="shared" si="17"/>
        <v>71</v>
      </c>
      <c r="E111" s="33">
        <v>3</v>
      </c>
      <c r="F111" s="43" t="s">
        <v>18</v>
      </c>
      <c r="G111" s="33">
        <v>3</v>
      </c>
      <c r="H111" s="44" t="str">
        <f ca="1" t="shared" si="9"/>
        <v>TV Jahn Bad Lippspringe</v>
      </c>
      <c r="I111" s="45" t="s">
        <v>23</v>
      </c>
      <c r="J111" s="33">
        <v>5</v>
      </c>
      <c r="K111" s="44" t="str">
        <f ca="1" t="shared" si="10"/>
        <v>VfL Waiblingen</v>
      </c>
      <c r="L111" s="43" t="s">
        <v>18</v>
      </c>
      <c r="M111" s="33">
        <v>1</v>
      </c>
      <c r="N111" s="44" t="str">
        <f ca="1" t="shared" si="11"/>
        <v>TV Sottrum</v>
      </c>
      <c r="O111" s="46" t="s">
        <v>339</v>
      </c>
      <c r="P111" s="33">
        <v>37</v>
      </c>
      <c r="Q111" s="45" t="s">
        <v>22</v>
      </c>
      <c r="R111" s="33">
        <v>33</v>
      </c>
      <c r="S111" s="47">
        <f t="shared" si="13"/>
        <v>2</v>
      </c>
      <c r="T111" s="45" t="s">
        <v>22</v>
      </c>
      <c r="U111" s="48">
        <f t="shared" si="14"/>
        <v>0</v>
      </c>
      <c r="W111" s="45" t="s">
        <v>43</v>
      </c>
      <c r="X111" s="45" t="s">
        <v>43</v>
      </c>
      <c r="Z111" s="33" t="s">
        <v>59</v>
      </c>
      <c r="AA111" s="33" t="s">
        <v>19</v>
      </c>
      <c r="AB111" s="3">
        <v>16</v>
      </c>
    </row>
    <row r="112" spans="1:28" ht="12.75">
      <c r="A112" s="33" t="str">
        <f t="shared" si="15"/>
        <v>m151315</v>
      </c>
      <c r="B112" s="62">
        <v>18</v>
      </c>
      <c r="C112" s="49"/>
      <c r="D112" s="49">
        <f t="shared" si="17"/>
        <v>72</v>
      </c>
      <c r="E112" s="49">
        <v>4</v>
      </c>
      <c r="F112" s="50" t="s">
        <v>18</v>
      </c>
      <c r="G112" s="49">
        <v>13</v>
      </c>
      <c r="H112" s="51" t="str">
        <f ca="1" t="shared" si="9"/>
        <v>TSV Wuchzenhofen</v>
      </c>
      <c r="I112" s="52" t="s">
        <v>23</v>
      </c>
      <c r="J112" s="49">
        <v>15</v>
      </c>
      <c r="K112" s="51" t="str">
        <f ca="1" t="shared" si="10"/>
        <v>TV Kierdorf 1962</v>
      </c>
      <c r="L112" s="50" t="s">
        <v>18</v>
      </c>
      <c r="M112" s="49">
        <v>11</v>
      </c>
      <c r="N112" s="51" t="str">
        <f ca="1" t="shared" si="11"/>
        <v>SV Werder Bremen</v>
      </c>
      <c r="O112" s="53" t="s">
        <v>353</v>
      </c>
      <c r="P112" s="49">
        <v>33</v>
      </c>
      <c r="Q112" s="52" t="s">
        <v>22</v>
      </c>
      <c r="R112" s="49">
        <v>36</v>
      </c>
      <c r="S112" s="54">
        <f t="shared" si="13"/>
        <v>0</v>
      </c>
      <c r="T112" s="52" t="s">
        <v>22</v>
      </c>
      <c r="U112" s="55">
        <f t="shared" si="14"/>
        <v>2</v>
      </c>
      <c r="W112" s="52" t="s">
        <v>43</v>
      </c>
      <c r="X112" s="52" t="s">
        <v>43</v>
      </c>
      <c r="Z112" s="33" t="s">
        <v>59</v>
      </c>
      <c r="AA112" s="33" t="s">
        <v>19</v>
      </c>
      <c r="AB112" s="3">
        <v>16</v>
      </c>
    </row>
    <row r="113" spans="1:28" ht="12.75">
      <c r="A113" s="33" t="str">
        <f t="shared" si="15"/>
        <v>w150104</v>
      </c>
      <c r="B113" s="33">
        <f>+B109+1</f>
        <v>19</v>
      </c>
      <c r="C113" s="42">
        <f>+Daten!N23</f>
        <v>0.7222222222222227</v>
      </c>
      <c r="D113" s="33">
        <f t="shared" si="17"/>
        <v>73</v>
      </c>
      <c r="E113" s="33">
        <v>1</v>
      </c>
      <c r="F113" s="43" t="s">
        <v>17</v>
      </c>
      <c r="G113" s="33">
        <v>1</v>
      </c>
      <c r="H113" s="44" t="str">
        <f ca="1" t="shared" si="9"/>
        <v>MTV Wohnste</v>
      </c>
      <c r="I113" s="45" t="s">
        <v>23</v>
      </c>
      <c r="J113" s="33">
        <v>4</v>
      </c>
      <c r="K113" s="44" t="str">
        <f ca="1" t="shared" si="10"/>
        <v>TV Winterhagen</v>
      </c>
      <c r="L113" s="43" t="s">
        <v>17</v>
      </c>
      <c r="M113" s="33">
        <v>3</v>
      </c>
      <c r="N113" s="44" t="str">
        <f ca="1" t="shared" si="11"/>
        <v>TV Kierdorf 1962</v>
      </c>
      <c r="O113" s="46" t="s">
        <v>354</v>
      </c>
      <c r="P113" s="33">
        <v>39</v>
      </c>
      <c r="Q113" s="45" t="s">
        <v>22</v>
      </c>
      <c r="R113" s="33">
        <v>29</v>
      </c>
      <c r="S113" s="47">
        <f t="shared" si="13"/>
        <v>2</v>
      </c>
      <c r="T113" s="45" t="s">
        <v>22</v>
      </c>
      <c r="U113" s="48">
        <f t="shared" si="14"/>
        <v>0</v>
      </c>
      <c r="W113" s="45" t="s">
        <v>43</v>
      </c>
      <c r="X113" s="45" t="s">
        <v>43</v>
      </c>
      <c r="Z113" s="33" t="s">
        <v>59</v>
      </c>
      <c r="AA113" s="33" t="s">
        <v>19</v>
      </c>
      <c r="AB113" s="3">
        <v>17</v>
      </c>
    </row>
    <row r="114" spans="1:28" ht="12.75">
      <c r="A114" s="33" t="str">
        <f t="shared" si="15"/>
        <v>w151114</v>
      </c>
      <c r="B114" s="61">
        <v>19</v>
      </c>
      <c r="C114" s="33"/>
      <c r="D114" s="33">
        <f t="shared" si="17"/>
        <v>74</v>
      </c>
      <c r="E114" s="33">
        <v>2</v>
      </c>
      <c r="F114" s="43" t="s">
        <v>17</v>
      </c>
      <c r="G114" s="33">
        <v>11</v>
      </c>
      <c r="H114" s="44" t="str">
        <f ca="1" t="shared" si="9"/>
        <v>TV Sottrum</v>
      </c>
      <c r="I114" s="45" t="s">
        <v>23</v>
      </c>
      <c r="J114" s="33">
        <v>14</v>
      </c>
      <c r="K114" s="44" t="str">
        <f ca="1" t="shared" si="10"/>
        <v>TSV Babenhausen</v>
      </c>
      <c r="L114" s="43" t="s">
        <v>17</v>
      </c>
      <c r="M114" s="33">
        <v>13</v>
      </c>
      <c r="N114" s="44" t="str">
        <f ca="1" t="shared" si="11"/>
        <v>TSV Wuchzenhofen</v>
      </c>
      <c r="O114" s="46" t="s">
        <v>355</v>
      </c>
      <c r="P114" s="33">
        <v>39</v>
      </c>
      <c r="Q114" s="45" t="s">
        <v>22</v>
      </c>
      <c r="R114" s="33">
        <v>25</v>
      </c>
      <c r="S114" s="47">
        <f t="shared" si="13"/>
        <v>2</v>
      </c>
      <c r="T114" s="45" t="s">
        <v>22</v>
      </c>
      <c r="U114" s="48">
        <f t="shared" si="14"/>
        <v>0</v>
      </c>
      <c r="W114" s="45" t="s">
        <v>43</v>
      </c>
      <c r="X114" s="45" t="s">
        <v>43</v>
      </c>
      <c r="Z114" s="33" t="s">
        <v>59</v>
      </c>
      <c r="AA114" s="33" t="s">
        <v>19</v>
      </c>
      <c r="AB114" s="3">
        <v>17</v>
      </c>
    </row>
    <row r="115" spans="1:28" ht="12.75">
      <c r="A115" s="33" t="str">
        <f t="shared" si="15"/>
        <v>m150104</v>
      </c>
      <c r="B115" s="61">
        <v>19</v>
      </c>
      <c r="C115" s="33"/>
      <c r="D115" s="33">
        <f t="shared" si="17"/>
        <v>75</v>
      </c>
      <c r="E115" s="33">
        <v>3</v>
      </c>
      <c r="F115" s="43" t="s">
        <v>18</v>
      </c>
      <c r="G115" s="33">
        <v>1</v>
      </c>
      <c r="H115" s="44" t="str">
        <f ca="1" t="shared" si="9"/>
        <v>TV Sottrum</v>
      </c>
      <c r="I115" s="45" t="s">
        <v>23</v>
      </c>
      <c r="J115" s="33">
        <v>4</v>
      </c>
      <c r="K115" s="44" t="str">
        <f ca="1" t="shared" si="10"/>
        <v>TuS Westfalia Dortmund-Sölde</v>
      </c>
      <c r="L115" s="43" t="s">
        <v>18</v>
      </c>
      <c r="M115" s="33">
        <v>3</v>
      </c>
      <c r="N115" s="44" t="str">
        <f ca="1" t="shared" si="11"/>
        <v>TV Jahn Bad Lippspringe</v>
      </c>
      <c r="O115" s="46" t="s">
        <v>327</v>
      </c>
      <c r="P115" s="33">
        <v>28</v>
      </c>
      <c r="Q115" s="45" t="s">
        <v>22</v>
      </c>
      <c r="R115" s="33">
        <v>30</v>
      </c>
      <c r="S115" s="47">
        <f t="shared" si="13"/>
        <v>0</v>
      </c>
      <c r="T115" s="45" t="s">
        <v>22</v>
      </c>
      <c r="U115" s="48">
        <f t="shared" si="14"/>
        <v>2</v>
      </c>
      <c r="W115" s="45" t="s">
        <v>43</v>
      </c>
      <c r="X115" s="45" t="s">
        <v>43</v>
      </c>
      <c r="Z115" s="33" t="s">
        <v>59</v>
      </c>
      <c r="AA115" s="33" t="s">
        <v>19</v>
      </c>
      <c r="AB115" s="3">
        <v>18</v>
      </c>
    </row>
    <row r="116" spans="1:28" ht="12.75">
      <c r="A116" s="33" t="str">
        <f t="shared" si="15"/>
        <v>m151114</v>
      </c>
      <c r="B116" s="62">
        <v>19</v>
      </c>
      <c r="C116" s="49"/>
      <c r="D116" s="49">
        <f t="shared" si="17"/>
        <v>76</v>
      </c>
      <c r="E116" s="49">
        <v>4</v>
      </c>
      <c r="F116" s="50" t="s">
        <v>18</v>
      </c>
      <c r="G116" s="49">
        <v>11</v>
      </c>
      <c r="H116" s="51" t="str">
        <f ca="1" t="shared" si="9"/>
        <v>SV Werder Bremen</v>
      </c>
      <c r="I116" s="52" t="s">
        <v>23</v>
      </c>
      <c r="J116" s="49">
        <v>14</v>
      </c>
      <c r="K116" s="51" t="str">
        <f ca="1" t="shared" si="10"/>
        <v>TV Rieschweiler</v>
      </c>
      <c r="L116" s="50" t="s">
        <v>18</v>
      </c>
      <c r="M116" s="49">
        <v>13</v>
      </c>
      <c r="N116" s="51" t="str">
        <f ca="1" t="shared" si="11"/>
        <v>TSV Wuchzenhofen</v>
      </c>
      <c r="O116" s="53" t="s">
        <v>356</v>
      </c>
      <c r="P116" s="49">
        <v>32</v>
      </c>
      <c r="Q116" s="52" t="s">
        <v>22</v>
      </c>
      <c r="R116" s="49">
        <v>33</v>
      </c>
      <c r="S116" s="54">
        <f t="shared" si="13"/>
        <v>0</v>
      </c>
      <c r="T116" s="52" t="s">
        <v>22</v>
      </c>
      <c r="U116" s="55">
        <f t="shared" si="14"/>
        <v>2</v>
      </c>
      <c r="W116" s="52" t="s">
        <v>43</v>
      </c>
      <c r="X116" s="52" t="s">
        <v>43</v>
      </c>
      <c r="Z116" s="33" t="s">
        <v>59</v>
      </c>
      <c r="AA116" s="33" t="s">
        <v>19</v>
      </c>
      <c r="AB116" s="3">
        <v>18</v>
      </c>
    </row>
    <row r="117" spans="1:28" ht="12.75">
      <c r="A117" s="33" t="str">
        <f t="shared" si="15"/>
        <v>w150205</v>
      </c>
      <c r="B117" s="33">
        <v>20</v>
      </c>
      <c r="C117" s="42">
        <f>+Daten!N24</f>
        <v>0.7395833333333338</v>
      </c>
      <c r="D117" s="33">
        <f t="shared" si="17"/>
        <v>77</v>
      </c>
      <c r="E117" s="33">
        <v>1</v>
      </c>
      <c r="F117" s="43" t="s">
        <v>17</v>
      </c>
      <c r="G117" s="33">
        <v>2</v>
      </c>
      <c r="H117" s="44" t="str">
        <f ca="1" t="shared" si="9"/>
        <v>MTV Eiche Schönebeck</v>
      </c>
      <c r="I117" s="45" t="s">
        <v>23</v>
      </c>
      <c r="J117" s="33">
        <v>5</v>
      </c>
      <c r="K117" s="44" t="str">
        <f ca="1" t="shared" si="10"/>
        <v>SV Diepoldshofen</v>
      </c>
      <c r="L117" s="43" t="s">
        <v>17</v>
      </c>
      <c r="M117" s="33">
        <v>4</v>
      </c>
      <c r="N117" s="44" t="str">
        <f ca="1" t="shared" si="11"/>
        <v>TV Winterhagen</v>
      </c>
      <c r="O117" s="46" t="s">
        <v>357</v>
      </c>
      <c r="P117" s="33">
        <v>51</v>
      </c>
      <c r="Q117" s="45" t="s">
        <v>22</v>
      </c>
      <c r="R117" s="33">
        <v>20</v>
      </c>
      <c r="S117" s="47">
        <f t="shared" si="13"/>
        <v>2</v>
      </c>
      <c r="T117" s="45" t="s">
        <v>22</v>
      </c>
      <c r="U117" s="48">
        <f t="shared" si="14"/>
        <v>0</v>
      </c>
      <c r="W117" s="45" t="s">
        <v>43</v>
      </c>
      <c r="X117" s="45" t="s">
        <v>43</v>
      </c>
      <c r="Z117" s="33" t="s">
        <v>59</v>
      </c>
      <c r="AA117" s="33" t="s">
        <v>19</v>
      </c>
      <c r="AB117" s="3">
        <v>19</v>
      </c>
    </row>
    <row r="118" spans="1:28" ht="12.75">
      <c r="A118" s="33" t="str">
        <f t="shared" si="15"/>
        <v>w151215</v>
      </c>
      <c r="B118" s="61">
        <v>20</v>
      </c>
      <c r="C118" s="33"/>
      <c r="D118" s="33">
        <f t="shared" si="17"/>
        <v>78</v>
      </c>
      <c r="E118" s="33">
        <v>2</v>
      </c>
      <c r="F118" s="43" t="s">
        <v>17</v>
      </c>
      <c r="G118" s="33">
        <v>12</v>
      </c>
      <c r="H118" s="44" t="str">
        <f ca="1" t="shared" si="9"/>
        <v>TuS Concordia Hülsede</v>
      </c>
      <c r="I118" s="45" t="s">
        <v>23</v>
      </c>
      <c r="J118" s="33">
        <v>15</v>
      </c>
      <c r="K118" s="44" t="str">
        <f ca="1" t="shared" si="10"/>
        <v>TV Berkenbaum</v>
      </c>
      <c r="L118" s="43" t="s">
        <v>17</v>
      </c>
      <c r="M118" s="33">
        <v>14</v>
      </c>
      <c r="N118" s="44" t="str">
        <f ca="1" t="shared" si="11"/>
        <v>TSV Babenhausen</v>
      </c>
      <c r="O118" s="46" t="s">
        <v>358</v>
      </c>
      <c r="P118" s="33">
        <v>40</v>
      </c>
      <c r="Q118" s="45" t="s">
        <v>22</v>
      </c>
      <c r="R118" s="33">
        <v>22</v>
      </c>
      <c r="S118" s="47">
        <f t="shared" si="13"/>
        <v>2</v>
      </c>
      <c r="T118" s="45" t="s">
        <v>22</v>
      </c>
      <c r="U118" s="48">
        <f t="shared" si="14"/>
        <v>0</v>
      </c>
      <c r="W118" s="45" t="s">
        <v>43</v>
      </c>
      <c r="X118" s="45" t="s">
        <v>43</v>
      </c>
      <c r="Z118" s="33" t="s">
        <v>59</v>
      </c>
      <c r="AA118" s="33" t="s">
        <v>19</v>
      </c>
      <c r="AB118" s="3">
        <v>19</v>
      </c>
    </row>
    <row r="119" spans="1:28" ht="12.75">
      <c r="A119" s="33" t="str">
        <f t="shared" si="15"/>
        <v>m150205</v>
      </c>
      <c r="B119" s="61">
        <v>20</v>
      </c>
      <c r="C119" s="33"/>
      <c r="D119" s="33">
        <f t="shared" si="17"/>
        <v>79</v>
      </c>
      <c r="E119" s="33">
        <v>3</v>
      </c>
      <c r="F119" s="43" t="s">
        <v>18</v>
      </c>
      <c r="G119" s="33">
        <v>2</v>
      </c>
      <c r="H119" s="44" t="str">
        <f ca="1" t="shared" si="9"/>
        <v>TuS Aschen-Strang</v>
      </c>
      <c r="I119" s="45" t="s">
        <v>23</v>
      </c>
      <c r="J119" s="33">
        <v>5</v>
      </c>
      <c r="K119" s="44" t="str">
        <f ca="1" t="shared" si="10"/>
        <v>VfL Waiblingen</v>
      </c>
      <c r="L119" s="43" t="s">
        <v>18</v>
      </c>
      <c r="M119" s="33">
        <v>4</v>
      </c>
      <c r="N119" s="44" t="str">
        <f ca="1" t="shared" si="11"/>
        <v>TuS Westfalia Dortmund-Sölde</v>
      </c>
      <c r="O119" s="46" t="s">
        <v>359</v>
      </c>
      <c r="P119" s="33">
        <v>37</v>
      </c>
      <c r="Q119" s="45" t="s">
        <v>22</v>
      </c>
      <c r="R119" s="33">
        <v>26</v>
      </c>
      <c r="S119" s="47">
        <f t="shared" si="13"/>
        <v>2</v>
      </c>
      <c r="T119" s="45" t="s">
        <v>22</v>
      </c>
      <c r="U119" s="48">
        <f t="shared" si="14"/>
        <v>0</v>
      </c>
      <c r="W119" s="45" t="s">
        <v>43</v>
      </c>
      <c r="X119" s="45" t="s">
        <v>43</v>
      </c>
      <c r="Z119" s="33" t="s">
        <v>59</v>
      </c>
      <c r="AA119" s="33" t="s">
        <v>19</v>
      </c>
      <c r="AB119" s="3">
        <v>20</v>
      </c>
    </row>
    <row r="120" spans="1:28" ht="12.75">
      <c r="A120" s="33" t="str">
        <f t="shared" si="15"/>
        <v>m151215</v>
      </c>
      <c r="B120" s="62">
        <v>20</v>
      </c>
      <c r="C120" s="49"/>
      <c r="D120" s="49">
        <f t="shared" si="17"/>
        <v>80</v>
      </c>
      <c r="E120" s="49">
        <v>4</v>
      </c>
      <c r="F120" s="50" t="s">
        <v>18</v>
      </c>
      <c r="G120" s="49">
        <v>12</v>
      </c>
      <c r="H120" s="51" t="str">
        <f ca="1" t="shared" si="9"/>
        <v>MTV Eiche Schönebeck</v>
      </c>
      <c r="I120" s="52" t="s">
        <v>23</v>
      </c>
      <c r="J120" s="49">
        <v>15</v>
      </c>
      <c r="K120" s="51" t="str">
        <f ca="1" t="shared" si="10"/>
        <v>TV Kierdorf 1962</v>
      </c>
      <c r="L120" s="50" t="s">
        <v>18</v>
      </c>
      <c r="M120" s="49">
        <v>14</v>
      </c>
      <c r="N120" s="51" t="str">
        <f ca="1" t="shared" si="11"/>
        <v>TV Rieschweiler</v>
      </c>
      <c r="O120" s="53" t="s">
        <v>360</v>
      </c>
      <c r="P120" s="49">
        <v>28</v>
      </c>
      <c r="Q120" s="52" t="s">
        <v>22</v>
      </c>
      <c r="R120" s="49">
        <v>32</v>
      </c>
      <c r="S120" s="54">
        <f t="shared" si="13"/>
        <v>0</v>
      </c>
      <c r="T120" s="52" t="s">
        <v>22</v>
      </c>
      <c r="U120" s="55">
        <f t="shared" si="14"/>
        <v>2</v>
      </c>
      <c r="W120" s="52" t="s">
        <v>43</v>
      </c>
      <c r="X120" s="52" t="s">
        <v>43</v>
      </c>
      <c r="Z120" s="33" t="s">
        <v>59</v>
      </c>
      <c r="AA120" s="33" t="s">
        <v>19</v>
      </c>
      <c r="AB120" s="3">
        <v>20</v>
      </c>
    </row>
    <row r="121" spans="2:27" ht="12.75" outlineLevel="1">
      <c r="B121" s="56" t="s">
        <v>60</v>
      </c>
      <c r="C121" s="56"/>
      <c r="D121" s="56" t="s">
        <v>61</v>
      </c>
      <c r="E121" s="33">
        <v>1</v>
      </c>
      <c r="F121" s="57" t="s">
        <v>18</v>
      </c>
      <c r="G121" s="56">
        <v>12</v>
      </c>
      <c r="H121" s="44" t="str">
        <f ca="1" t="shared" si="9"/>
        <v>MTV Eiche Schönebeck</v>
      </c>
      <c r="I121" s="45" t="s">
        <v>23</v>
      </c>
      <c r="J121" s="56">
        <v>13</v>
      </c>
      <c r="K121" s="44" t="str">
        <f ca="1" t="shared" si="10"/>
        <v>TSV Wuchzenhofen</v>
      </c>
      <c r="L121" s="57" t="s">
        <v>18</v>
      </c>
      <c r="M121" s="56">
        <v>11</v>
      </c>
      <c r="N121" s="44" t="str">
        <f ca="1" t="shared" si="11"/>
        <v>SV Werder Bremen</v>
      </c>
      <c r="O121" s="58"/>
      <c r="P121" s="33"/>
      <c r="Q121" s="45" t="s">
        <v>22</v>
      </c>
      <c r="R121" s="33"/>
      <c r="S121" s="47">
        <f t="shared" si="13"/>
      </c>
      <c r="T121" s="45" t="s">
        <v>22</v>
      </c>
      <c r="U121" s="48">
        <f t="shared" si="14"/>
      </c>
      <c r="W121" s="45" t="s">
        <v>43</v>
      </c>
      <c r="X121" s="45" t="s">
        <v>43</v>
      </c>
      <c r="Z121" s="33" t="s">
        <v>62</v>
      </c>
      <c r="AA121" s="33" t="s">
        <v>172</v>
      </c>
    </row>
    <row r="122" spans="2:27" ht="12.75" outlineLevel="1">
      <c r="B122" s="56" t="s">
        <v>24</v>
      </c>
      <c r="C122" s="56"/>
      <c r="D122" s="56" t="s">
        <v>63</v>
      </c>
      <c r="E122" s="33">
        <v>2</v>
      </c>
      <c r="F122" s="57" t="s">
        <v>18</v>
      </c>
      <c r="G122" s="56">
        <v>11</v>
      </c>
      <c r="H122" s="44" t="str">
        <f ca="1" t="shared" si="9"/>
        <v>SV Werder Bremen</v>
      </c>
      <c r="I122" s="45" t="s">
        <v>23</v>
      </c>
      <c r="J122" s="56">
        <v>12</v>
      </c>
      <c r="K122" s="44" t="str">
        <f ca="1" t="shared" si="10"/>
        <v>MTV Eiche Schönebeck</v>
      </c>
      <c r="L122" s="57" t="s">
        <v>18</v>
      </c>
      <c r="M122" s="56">
        <v>13</v>
      </c>
      <c r="N122" s="44" t="str">
        <f ca="1" t="shared" si="11"/>
        <v>TSV Wuchzenhofen</v>
      </c>
      <c r="O122" s="58"/>
      <c r="P122" s="33"/>
      <c r="Q122" s="45" t="s">
        <v>22</v>
      </c>
      <c r="R122" s="33"/>
      <c r="S122" s="33"/>
      <c r="T122" s="45" t="s">
        <v>22</v>
      </c>
      <c r="U122" s="33"/>
      <c r="W122" s="45" t="s">
        <v>43</v>
      </c>
      <c r="X122" s="45" t="s">
        <v>43</v>
      </c>
      <c r="Z122" s="33" t="s">
        <v>62</v>
      </c>
      <c r="AA122" s="33" t="s">
        <v>172</v>
      </c>
    </row>
    <row r="123" spans="2:27" ht="12.75" outlineLevel="1">
      <c r="B123" s="56"/>
      <c r="C123" s="56"/>
      <c r="D123" s="56" t="s">
        <v>64</v>
      </c>
      <c r="E123" s="33">
        <v>3</v>
      </c>
      <c r="F123" s="57"/>
      <c r="G123" s="56"/>
      <c r="H123" s="44"/>
      <c r="I123" s="45" t="s">
        <v>23</v>
      </c>
      <c r="J123" s="56"/>
      <c r="K123" s="44"/>
      <c r="L123" s="57"/>
      <c r="M123" s="56"/>
      <c r="N123" s="44"/>
      <c r="O123" s="58"/>
      <c r="P123" s="33"/>
      <c r="Q123" s="45" t="s">
        <v>22</v>
      </c>
      <c r="R123" s="33"/>
      <c r="S123" s="33"/>
      <c r="T123" s="45" t="s">
        <v>22</v>
      </c>
      <c r="U123" s="33"/>
      <c r="W123" s="45" t="s">
        <v>43</v>
      </c>
      <c r="X123" s="45" t="s">
        <v>43</v>
      </c>
      <c r="Z123" s="33" t="s">
        <v>62</v>
      </c>
      <c r="AA123" s="33" t="s">
        <v>172</v>
      </c>
    </row>
    <row r="124" spans="2:27" ht="12.75" outlineLevel="1">
      <c r="B124" s="49"/>
      <c r="C124" s="49"/>
      <c r="D124" s="49" t="s">
        <v>65</v>
      </c>
      <c r="E124" s="49">
        <v>4</v>
      </c>
      <c r="F124" s="50"/>
      <c r="G124" s="49"/>
      <c r="H124" s="51"/>
      <c r="I124" s="52" t="s">
        <v>23</v>
      </c>
      <c r="J124" s="49"/>
      <c r="K124" s="51"/>
      <c r="L124" s="50"/>
      <c r="M124" s="49"/>
      <c r="N124" s="51"/>
      <c r="O124" s="53"/>
      <c r="P124" s="49"/>
      <c r="Q124" s="52" t="s">
        <v>22</v>
      </c>
      <c r="R124" s="49"/>
      <c r="S124" s="49"/>
      <c r="T124" s="52" t="s">
        <v>22</v>
      </c>
      <c r="U124" s="49"/>
      <c r="W124" s="52" t="s">
        <v>43</v>
      </c>
      <c r="X124" s="52" t="s">
        <v>43</v>
      </c>
      <c r="Z124" s="33" t="s">
        <v>62</v>
      </c>
      <c r="AA124" s="33" t="s">
        <v>172</v>
      </c>
    </row>
    <row r="125" spans="2:27" ht="12.75" outlineLevel="1">
      <c r="B125" s="56" t="s">
        <v>66</v>
      </c>
      <c r="C125" s="56"/>
      <c r="D125" s="56" t="s">
        <v>67</v>
      </c>
      <c r="E125" s="33">
        <v>1</v>
      </c>
      <c r="F125" s="57"/>
      <c r="G125" s="56"/>
      <c r="H125" s="44"/>
      <c r="I125" s="45" t="s">
        <v>23</v>
      </c>
      <c r="J125" s="56"/>
      <c r="K125" s="44"/>
      <c r="L125" s="57"/>
      <c r="M125" s="56"/>
      <c r="N125" s="44"/>
      <c r="O125" s="58"/>
      <c r="P125" s="33"/>
      <c r="Q125" s="45" t="s">
        <v>22</v>
      </c>
      <c r="R125" s="33"/>
      <c r="S125" s="47">
        <f>IF(P125="","",IF(P125&gt;R125,2,IF(P125&lt;R125,0,1)))</f>
      </c>
      <c r="T125" s="45" t="s">
        <v>22</v>
      </c>
      <c r="U125" s="48">
        <f>IF(R125="","",IF(R125&gt;P125,2,IF(R125&lt;P125,0,1)))</f>
      </c>
      <c r="W125" s="45" t="s">
        <v>43</v>
      </c>
      <c r="X125" s="45" t="s">
        <v>43</v>
      </c>
      <c r="Z125" s="33" t="s">
        <v>62</v>
      </c>
      <c r="AA125" s="33" t="s">
        <v>172</v>
      </c>
    </row>
    <row r="126" spans="2:27" ht="12.75" outlineLevel="1">
      <c r="B126" s="56" t="s">
        <v>24</v>
      </c>
      <c r="C126" s="56"/>
      <c r="D126" s="56" t="s">
        <v>68</v>
      </c>
      <c r="E126" s="33">
        <v>2</v>
      </c>
      <c r="F126" s="57"/>
      <c r="G126" s="56"/>
      <c r="H126" s="44"/>
      <c r="I126" s="45" t="s">
        <v>23</v>
      </c>
      <c r="J126" s="56"/>
      <c r="K126" s="44"/>
      <c r="L126" s="57"/>
      <c r="M126" s="56"/>
      <c r="N126" s="44"/>
      <c r="O126" s="58"/>
      <c r="P126" s="33"/>
      <c r="Q126" s="45" t="s">
        <v>22</v>
      </c>
      <c r="R126" s="33"/>
      <c r="S126" s="33"/>
      <c r="T126" s="45" t="s">
        <v>22</v>
      </c>
      <c r="U126" s="33"/>
      <c r="W126" s="45" t="s">
        <v>43</v>
      </c>
      <c r="X126" s="45" t="s">
        <v>43</v>
      </c>
      <c r="Z126" s="33" t="s">
        <v>62</v>
      </c>
      <c r="AA126" s="33" t="s">
        <v>172</v>
      </c>
    </row>
    <row r="127" spans="2:27" ht="12.75" outlineLevel="1">
      <c r="B127" s="56"/>
      <c r="C127" s="56"/>
      <c r="D127" s="56" t="s">
        <v>69</v>
      </c>
      <c r="E127" s="33">
        <v>3</v>
      </c>
      <c r="F127" s="57"/>
      <c r="G127" s="56"/>
      <c r="H127" s="44"/>
      <c r="I127" s="45" t="s">
        <v>23</v>
      </c>
      <c r="J127" s="56"/>
      <c r="K127" s="44"/>
      <c r="L127" s="57"/>
      <c r="M127" s="56"/>
      <c r="N127" s="44"/>
      <c r="O127" s="58"/>
      <c r="P127" s="33"/>
      <c r="Q127" s="45" t="s">
        <v>22</v>
      </c>
      <c r="R127" s="33"/>
      <c r="S127" s="33"/>
      <c r="T127" s="45" t="s">
        <v>22</v>
      </c>
      <c r="U127" s="33"/>
      <c r="W127" s="45" t="s">
        <v>43</v>
      </c>
      <c r="X127" s="45" t="s">
        <v>43</v>
      </c>
      <c r="Z127" s="33" t="s">
        <v>62</v>
      </c>
      <c r="AA127" s="33" t="s">
        <v>172</v>
      </c>
    </row>
    <row r="128" spans="2:27" ht="12.75" outlineLevel="1">
      <c r="B128" s="49"/>
      <c r="C128" s="49"/>
      <c r="D128" s="49" t="s">
        <v>70</v>
      </c>
      <c r="E128" s="49">
        <v>4</v>
      </c>
      <c r="F128" s="50"/>
      <c r="G128" s="49"/>
      <c r="H128" s="51"/>
      <c r="I128" s="52" t="s">
        <v>23</v>
      </c>
      <c r="J128" s="49"/>
      <c r="K128" s="51"/>
      <c r="L128" s="50"/>
      <c r="M128" s="49"/>
      <c r="N128" s="51"/>
      <c r="O128" s="53"/>
      <c r="P128" s="49"/>
      <c r="Q128" s="52" t="s">
        <v>22</v>
      </c>
      <c r="R128" s="49"/>
      <c r="S128" s="49"/>
      <c r="T128" s="52" t="s">
        <v>22</v>
      </c>
      <c r="U128" s="49"/>
      <c r="W128" s="52" t="s">
        <v>43</v>
      </c>
      <c r="X128" s="52" t="s">
        <v>43</v>
      </c>
      <c r="Z128" s="33" t="s">
        <v>62</v>
      </c>
      <c r="AA128" s="33" t="s">
        <v>172</v>
      </c>
    </row>
    <row r="129" spans="2:27" ht="12.75" outlineLevel="1">
      <c r="B129" s="56" t="s">
        <v>71</v>
      </c>
      <c r="C129" s="56"/>
      <c r="D129" s="56" t="s">
        <v>72</v>
      </c>
      <c r="E129" s="33">
        <v>1</v>
      </c>
      <c r="F129" s="57"/>
      <c r="G129" s="56"/>
      <c r="H129" s="44"/>
      <c r="I129" s="45" t="s">
        <v>23</v>
      </c>
      <c r="J129" s="56"/>
      <c r="K129" s="44"/>
      <c r="L129" s="57"/>
      <c r="M129" s="56"/>
      <c r="N129" s="44"/>
      <c r="O129" s="58"/>
      <c r="P129" s="33"/>
      <c r="Q129" s="45" t="s">
        <v>22</v>
      </c>
      <c r="R129" s="33"/>
      <c r="S129" s="47">
        <f>IF(P129="","",IF(P129&gt;R129,2,IF(P129&lt;R129,0,1)))</f>
      </c>
      <c r="T129" s="45" t="s">
        <v>22</v>
      </c>
      <c r="U129" s="48">
        <f>IF(R129="","",IF(R129&gt;P129,2,IF(R129&lt;P129,0,1)))</f>
      </c>
      <c r="W129" s="45" t="s">
        <v>43</v>
      </c>
      <c r="X129" s="45" t="s">
        <v>43</v>
      </c>
      <c r="Z129" s="33" t="s">
        <v>62</v>
      </c>
      <c r="AA129" s="33" t="s">
        <v>172</v>
      </c>
    </row>
    <row r="130" spans="2:27" ht="12.75" outlineLevel="1">
      <c r="B130" s="56" t="s">
        <v>24</v>
      </c>
      <c r="C130" s="56"/>
      <c r="D130" s="56" t="s">
        <v>73</v>
      </c>
      <c r="E130" s="33">
        <v>2</v>
      </c>
      <c r="F130" s="57"/>
      <c r="G130" s="56"/>
      <c r="H130" s="44"/>
      <c r="I130" s="45" t="s">
        <v>23</v>
      </c>
      <c r="J130" s="56"/>
      <c r="K130" s="44"/>
      <c r="L130" s="57"/>
      <c r="M130" s="56"/>
      <c r="N130" s="44"/>
      <c r="O130" s="58"/>
      <c r="P130" s="33"/>
      <c r="Q130" s="45" t="s">
        <v>22</v>
      </c>
      <c r="R130" s="33"/>
      <c r="S130" s="33"/>
      <c r="T130" s="45" t="s">
        <v>22</v>
      </c>
      <c r="U130" s="33"/>
      <c r="W130" s="45" t="s">
        <v>43</v>
      </c>
      <c r="X130" s="45" t="s">
        <v>43</v>
      </c>
      <c r="Z130" s="33" t="s">
        <v>62</v>
      </c>
      <c r="AA130" s="33" t="s">
        <v>172</v>
      </c>
    </row>
    <row r="131" spans="2:27" ht="12.75" outlineLevel="1">
      <c r="B131" s="56"/>
      <c r="C131" s="56"/>
      <c r="D131" s="56" t="s">
        <v>74</v>
      </c>
      <c r="E131" s="33">
        <v>3</v>
      </c>
      <c r="F131" s="57"/>
      <c r="G131" s="56"/>
      <c r="H131" s="44"/>
      <c r="I131" s="45" t="s">
        <v>23</v>
      </c>
      <c r="J131" s="56"/>
      <c r="K131" s="44"/>
      <c r="L131" s="57"/>
      <c r="M131" s="56"/>
      <c r="N131" s="44"/>
      <c r="O131" s="58"/>
      <c r="P131" s="33"/>
      <c r="Q131" s="45" t="s">
        <v>22</v>
      </c>
      <c r="R131" s="33"/>
      <c r="S131" s="33"/>
      <c r="T131" s="45" t="s">
        <v>22</v>
      </c>
      <c r="U131" s="33"/>
      <c r="W131" s="45" t="s">
        <v>43</v>
      </c>
      <c r="X131" s="45" t="s">
        <v>43</v>
      </c>
      <c r="Z131" s="33" t="s">
        <v>62</v>
      </c>
      <c r="AA131" s="33" t="s">
        <v>172</v>
      </c>
    </row>
    <row r="132" spans="2:27" ht="12.75" outlineLevel="1">
      <c r="B132" s="49"/>
      <c r="C132" s="49"/>
      <c r="D132" s="49" t="s">
        <v>75</v>
      </c>
      <c r="E132" s="49">
        <v>4</v>
      </c>
      <c r="F132" s="50"/>
      <c r="G132" s="49"/>
      <c r="H132" s="51"/>
      <c r="I132" s="52" t="s">
        <v>23</v>
      </c>
      <c r="J132" s="49"/>
      <c r="K132" s="51"/>
      <c r="L132" s="50"/>
      <c r="M132" s="49"/>
      <c r="N132" s="51"/>
      <c r="O132" s="53"/>
      <c r="P132" s="49"/>
      <c r="Q132" s="52" t="s">
        <v>22</v>
      </c>
      <c r="R132" s="49"/>
      <c r="S132" s="49"/>
      <c r="T132" s="52" t="s">
        <v>22</v>
      </c>
      <c r="U132" s="49"/>
      <c r="W132" s="52" t="s">
        <v>43</v>
      </c>
      <c r="X132" s="52" t="s">
        <v>43</v>
      </c>
      <c r="Z132" s="33" t="s">
        <v>62</v>
      </c>
      <c r="AA132" s="33" t="s">
        <v>172</v>
      </c>
    </row>
    <row r="133" spans="2:27" ht="12.75" outlineLevel="1">
      <c r="B133" s="56" t="s">
        <v>76</v>
      </c>
      <c r="C133" s="56"/>
      <c r="D133" s="56" t="s">
        <v>77</v>
      </c>
      <c r="E133" s="33">
        <v>1</v>
      </c>
      <c r="F133" s="57"/>
      <c r="G133" s="56"/>
      <c r="H133" s="44"/>
      <c r="I133" s="45" t="s">
        <v>23</v>
      </c>
      <c r="J133" s="56"/>
      <c r="K133" s="44"/>
      <c r="L133" s="57"/>
      <c r="M133" s="56"/>
      <c r="N133" s="44"/>
      <c r="O133" s="58"/>
      <c r="P133" s="33"/>
      <c r="Q133" s="45" t="s">
        <v>22</v>
      </c>
      <c r="R133" s="33"/>
      <c r="S133" s="47">
        <f>IF(P133="","",IF(P133&gt;R133,2,IF(P133&lt;R133,0,1)))</f>
      </c>
      <c r="T133" s="45" t="s">
        <v>22</v>
      </c>
      <c r="U133" s="48">
        <f>IF(R133="","",IF(R133&gt;P133,2,IF(R133&lt;P133,0,1)))</f>
      </c>
      <c r="W133" s="45" t="s">
        <v>43</v>
      </c>
      <c r="X133" s="45" t="s">
        <v>43</v>
      </c>
      <c r="Z133" s="33" t="s">
        <v>62</v>
      </c>
      <c r="AA133" s="33" t="s">
        <v>172</v>
      </c>
    </row>
    <row r="134" spans="2:27" ht="12.75" outlineLevel="1">
      <c r="B134" s="56" t="s">
        <v>24</v>
      </c>
      <c r="C134" s="56"/>
      <c r="D134" s="56" t="s">
        <v>78</v>
      </c>
      <c r="E134" s="33">
        <v>2</v>
      </c>
      <c r="F134" s="57"/>
      <c r="G134" s="56"/>
      <c r="H134" s="44"/>
      <c r="I134" s="45" t="s">
        <v>23</v>
      </c>
      <c r="J134" s="56"/>
      <c r="K134" s="44"/>
      <c r="L134" s="57"/>
      <c r="M134" s="56"/>
      <c r="N134" s="44"/>
      <c r="O134" s="58"/>
      <c r="P134" s="33"/>
      <c r="Q134" s="45" t="s">
        <v>22</v>
      </c>
      <c r="R134" s="33"/>
      <c r="S134" s="33"/>
      <c r="T134" s="45" t="s">
        <v>22</v>
      </c>
      <c r="U134" s="33"/>
      <c r="W134" s="45" t="s">
        <v>43</v>
      </c>
      <c r="X134" s="45" t="s">
        <v>43</v>
      </c>
      <c r="Z134" s="33" t="s">
        <v>62</v>
      </c>
      <c r="AA134" s="33" t="s">
        <v>172</v>
      </c>
    </row>
    <row r="135" spans="2:27" ht="12.75" outlineLevel="1">
      <c r="B135" s="56"/>
      <c r="C135" s="56"/>
      <c r="D135" s="56" t="s">
        <v>79</v>
      </c>
      <c r="E135" s="33">
        <v>3</v>
      </c>
      <c r="F135" s="57"/>
      <c r="G135" s="56"/>
      <c r="H135" s="44"/>
      <c r="I135" s="45" t="s">
        <v>23</v>
      </c>
      <c r="J135" s="56"/>
      <c r="K135" s="44"/>
      <c r="L135" s="57"/>
      <c r="M135" s="56"/>
      <c r="N135" s="44"/>
      <c r="O135" s="58"/>
      <c r="P135" s="33"/>
      <c r="Q135" s="45" t="s">
        <v>22</v>
      </c>
      <c r="R135" s="33"/>
      <c r="S135" s="33"/>
      <c r="T135" s="45" t="s">
        <v>22</v>
      </c>
      <c r="U135" s="33"/>
      <c r="W135" s="45" t="s">
        <v>43</v>
      </c>
      <c r="X135" s="45" t="s">
        <v>43</v>
      </c>
      <c r="Z135" s="33" t="s">
        <v>62</v>
      </c>
      <c r="AA135" s="33" t="s">
        <v>172</v>
      </c>
    </row>
    <row r="136" spans="2:27" ht="12.75" outlineLevel="1">
      <c r="B136" s="49"/>
      <c r="C136" s="49"/>
      <c r="D136" s="49" t="s">
        <v>80</v>
      </c>
      <c r="E136" s="49">
        <v>4</v>
      </c>
      <c r="F136" s="50"/>
      <c r="G136" s="49"/>
      <c r="H136" s="51"/>
      <c r="I136" s="52" t="s">
        <v>23</v>
      </c>
      <c r="J136" s="49"/>
      <c r="K136" s="51"/>
      <c r="L136" s="50"/>
      <c r="M136" s="49"/>
      <c r="N136" s="51"/>
      <c r="O136" s="53"/>
      <c r="P136" s="49"/>
      <c r="Q136" s="52" t="s">
        <v>22</v>
      </c>
      <c r="R136" s="49"/>
      <c r="S136" s="49"/>
      <c r="T136" s="52" t="s">
        <v>22</v>
      </c>
      <c r="U136" s="49"/>
      <c r="W136" s="52" t="s">
        <v>43</v>
      </c>
      <c r="X136" s="52" t="s">
        <v>43</v>
      </c>
      <c r="Z136" s="33" t="s">
        <v>62</v>
      </c>
      <c r="AA136" s="33" t="s">
        <v>172</v>
      </c>
    </row>
    <row r="137" spans="15:26" ht="12.75">
      <c r="O137" s="59"/>
      <c r="Z137" s="33"/>
    </row>
    <row r="138" ht="12.75">
      <c r="Z138" s="33"/>
    </row>
    <row r="139" ht="12.75">
      <c r="Z139" s="33"/>
    </row>
    <row r="140" ht="12.75">
      <c r="Z140" s="33"/>
    </row>
    <row r="141" ht="12.75">
      <c r="Z141" s="33"/>
    </row>
    <row r="142" ht="12.75">
      <c r="Z142" s="33"/>
    </row>
    <row r="143" ht="12.75">
      <c r="Z143" s="33"/>
    </row>
    <row r="144" ht="12.75">
      <c r="Z144" s="33"/>
    </row>
    <row r="145" ht="12.75">
      <c r="Z145" s="33"/>
    </row>
    <row r="146" ht="12.75">
      <c r="Z146" s="33"/>
    </row>
    <row r="147" ht="12.75">
      <c r="Z147" s="33"/>
    </row>
    <row r="148" ht="12.75">
      <c r="Z148" s="33"/>
    </row>
    <row r="149" ht="12.75">
      <c r="Z149" s="33"/>
    </row>
    <row r="150" ht="12.75">
      <c r="Z150" s="33"/>
    </row>
    <row r="151" ht="12.75">
      <c r="Z151" s="33"/>
    </row>
    <row r="152" ht="12.75">
      <c r="Z152" s="33"/>
    </row>
    <row r="153" ht="12.75">
      <c r="Z153" s="33"/>
    </row>
    <row r="154" ht="12.75">
      <c r="Z154" s="33"/>
    </row>
    <row r="155" ht="12.75">
      <c r="Z155" s="33"/>
    </row>
    <row r="156" ht="12.75">
      <c r="Z156" s="33"/>
    </row>
    <row r="157" ht="12.75">
      <c r="Z157" s="33"/>
    </row>
    <row r="158" ht="12.75">
      <c r="Z158" s="33"/>
    </row>
    <row r="159" ht="12.75">
      <c r="Z159" s="33"/>
    </row>
    <row r="160" ht="12.75">
      <c r="Z160" s="33"/>
    </row>
    <row r="161" ht="12.75">
      <c r="Z161" s="33"/>
    </row>
    <row r="162" ht="12.75">
      <c r="Z162" s="33"/>
    </row>
    <row r="163" ht="12.75">
      <c r="Z163" s="33"/>
    </row>
    <row r="164" ht="12.75">
      <c r="Z164" s="33"/>
    </row>
    <row r="165" ht="12.75">
      <c r="Z165" s="33"/>
    </row>
  </sheetData>
  <sheetProtection/>
  <printOptions horizontalCentered="1" verticalCentered="1"/>
  <pageMargins left="0.3937007874015748" right="0.1968503937007874" top="0.1968503937007874" bottom="0.3937007874015748" header="0.7086614173228347" footer="0.31496062992125984"/>
  <pageSetup horizontalDpi="600" verticalDpi="600" orientation="portrait" paperSize="9" r:id="rId1"/>
  <headerFooter alignWithMargins="0">
    <oddFooter>&amp;R&amp;6&amp;D; &amp;F, &amp;A</oddFooter>
  </headerFooter>
  <rowBreaks count="1" manualBreakCount="1">
    <brk id="78" max="6553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showGridLines="0" zoomScalePageLayoutView="0" workbookViewId="0" topLeftCell="B25">
      <selection activeCell="Y33" sqref="Y33"/>
    </sheetView>
  </sheetViews>
  <sheetFormatPr defaultColWidth="11.421875" defaultRowHeight="12.75" outlineLevelRow="1" outlineLevelCol="1"/>
  <cols>
    <col min="1" max="1" width="4.28125" style="33" hidden="1" customWidth="1" outlineLevel="1"/>
    <col min="2" max="2" width="2.00390625" style="3" customWidth="1" collapsed="1"/>
    <col min="3" max="3" width="6.8515625" style="3" customWidth="1"/>
    <col min="4" max="4" width="24.7109375" style="3" customWidth="1"/>
    <col min="5" max="5" width="4.00390625" style="3" customWidth="1"/>
    <col min="6" max="6" width="1.7109375" style="3" customWidth="1"/>
    <col min="7" max="8" width="4.00390625" style="3" customWidth="1"/>
    <col min="9" max="9" width="1.7109375" style="3" customWidth="1"/>
    <col min="10" max="11" width="4.00390625" style="3" customWidth="1"/>
    <col min="12" max="12" width="1.7109375" style="3" customWidth="1"/>
    <col min="13" max="14" width="4.00390625" style="3" customWidth="1"/>
    <col min="15" max="15" width="1.7109375" style="3" customWidth="1"/>
    <col min="16" max="17" width="4.00390625" style="3" customWidth="1"/>
    <col min="18" max="18" width="1.7109375" style="3" customWidth="1"/>
    <col min="19" max="20" width="4.00390625" style="3" customWidth="1"/>
    <col min="21" max="21" width="1.7109375" style="3" customWidth="1"/>
    <col min="22" max="22" width="4.00390625" style="3" customWidth="1"/>
    <col min="23" max="23" width="4.7109375" style="3" customWidth="1"/>
    <col min="24" max="24" width="6.57421875" style="3" hidden="1" customWidth="1"/>
    <col min="25" max="25" width="4.00390625" style="3" customWidth="1"/>
    <col min="26" max="26" width="4.8515625" style="3" customWidth="1"/>
    <col min="27" max="27" width="1.7109375" style="3" customWidth="1"/>
    <col min="28" max="29" width="4.00390625" style="3" customWidth="1"/>
    <col min="30" max="30" width="1.7109375" style="3" customWidth="1"/>
    <col min="31" max="31" width="4.00390625" style="3" customWidth="1"/>
    <col min="32" max="16384" width="11.421875" style="3" customWidth="1"/>
  </cols>
  <sheetData>
    <row r="1" spans="2:23" ht="24.75" customHeight="1">
      <c r="B1" s="65"/>
      <c r="C1" s="60" t="str">
        <f>+Daten!A1&amp;" "&amp;Daten!B1&amp;" "&amp;Daten!I1</f>
        <v>52. Deutsche Prellball Meisterschaften der Jugend 2015</v>
      </c>
      <c r="D1" s="66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3" ht="21.75" customHeight="1">
      <c r="C2" s="67" t="s">
        <v>19</v>
      </c>
      <c r="D2" s="68"/>
      <c r="E2" s="69"/>
      <c r="F2" s="70"/>
      <c r="G2" s="69"/>
      <c r="H2" s="71"/>
      <c r="I2" s="71"/>
      <c r="J2" s="71"/>
      <c r="K2" s="71"/>
      <c r="L2" s="71"/>
      <c r="M2" s="71"/>
      <c r="N2" s="71"/>
      <c r="O2" s="71"/>
      <c r="P2" s="67" t="str">
        <f>+Daten!C4</f>
        <v>weibl. Jugend 11-14</v>
      </c>
      <c r="Q2" s="72"/>
      <c r="R2" s="72"/>
      <c r="S2" s="72"/>
      <c r="T2" s="73"/>
      <c r="U2" s="73"/>
      <c r="V2" s="73"/>
      <c r="W2" s="68"/>
    </row>
    <row r="3" spans="1:23" ht="6.75" customHeight="1">
      <c r="A3" s="33" t="s">
        <v>15</v>
      </c>
      <c r="C3" s="74"/>
      <c r="D3" s="71"/>
      <c r="E3" s="69"/>
      <c r="F3" s="75">
        <v>1</v>
      </c>
      <c r="G3" s="76"/>
      <c r="H3" s="77"/>
      <c r="I3" s="77">
        <v>2</v>
      </c>
      <c r="J3" s="77"/>
      <c r="K3" s="77"/>
      <c r="L3" s="77">
        <v>3</v>
      </c>
      <c r="M3" s="77"/>
      <c r="N3" s="77"/>
      <c r="O3" s="77">
        <v>4</v>
      </c>
      <c r="P3" s="77"/>
      <c r="Q3" s="77"/>
      <c r="R3" s="77">
        <v>5</v>
      </c>
      <c r="S3" s="74"/>
      <c r="T3" s="71"/>
      <c r="U3" s="71"/>
      <c r="V3" s="71"/>
      <c r="W3" s="71"/>
    </row>
    <row r="4" spans="3:30" ht="12.75" customHeight="1">
      <c r="C4" s="78"/>
      <c r="D4" s="79" t="str">
        <f>+Daten!C5</f>
        <v>Gruppe A</v>
      </c>
      <c r="E4" s="80"/>
      <c r="F4" s="81" t="str">
        <f>+D5</f>
        <v>MTV Eiche Schönebeck</v>
      </c>
      <c r="G4" s="82"/>
      <c r="H4" s="83"/>
      <c r="I4" s="81" t="str">
        <f>+D7</f>
        <v>TV Sottrum</v>
      </c>
      <c r="J4" s="84"/>
      <c r="K4" s="83"/>
      <c r="L4" s="81" t="str">
        <f>+D9</f>
        <v>TuS Meinerzhagen</v>
      </c>
      <c r="M4" s="84"/>
      <c r="N4" s="83"/>
      <c r="O4" s="81" t="str">
        <f>+D11</f>
        <v>TV Winterhagen</v>
      </c>
      <c r="P4" s="84"/>
      <c r="Q4" s="83"/>
      <c r="R4" s="81" t="str">
        <f>+D13</f>
        <v>TV Rieschweiler</v>
      </c>
      <c r="S4" s="84"/>
      <c r="T4" s="85"/>
      <c r="U4" s="86" t="s">
        <v>20</v>
      </c>
      <c r="V4" s="87"/>
      <c r="W4" s="88" t="s">
        <v>21</v>
      </c>
      <c r="AD4" s="89"/>
    </row>
    <row r="5" spans="1:29" ht="15" customHeight="1">
      <c r="A5" s="33">
        <v>1</v>
      </c>
      <c r="C5" s="90" t="str">
        <f>IF(Daten!B6="","",Daten!B6)</f>
        <v>BR</v>
      </c>
      <c r="D5" s="91" t="str">
        <f>IF(Daten!C6="","",Daten!C6)</f>
        <v>MTV Eiche Schönebeck</v>
      </c>
      <c r="E5" s="92"/>
      <c r="F5" s="93"/>
      <c r="G5" s="94"/>
      <c r="H5" s="95">
        <f>IF(ISERROR(VLOOKUP($A$3&amp;TEXT($A5,"00")&amp;TEXT(I$3,"00"),Samstag!$A$24:$Y$205,16,FALSE)),"",VLOOKUP($A$3&amp;TEXT($A5,"00")&amp;TEXT(I$3,"00"),Samstag!$A$24:$Y$205,16,FALSE))</f>
        <v>29</v>
      </c>
      <c r="I5" s="96" t="s">
        <v>22</v>
      </c>
      <c r="J5" s="97">
        <f>IF(ISERROR(VLOOKUP($A$3&amp;TEXT($A5,"00")&amp;TEXT(I$3,"00"),Samstag!$A$24:$Y$205,18,FALSE)),"",VLOOKUP($A$3&amp;TEXT($A5,"00")&amp;TEXT(I$3,"00"),Samstag!$A$24:$Y$205,18,FALSE))</f>
        <v>46</v>
      </c>
      <c r="K5" s="95">
        <f>IF(ISERROR(VLOOKUP($A$3&amp;TEXT($A5,"00")&amp;TEXT(L$3,"00"),Samstag!$A$24:$Y$205,16,FALSE)),"",VLOOKUP($A$3&amp;TEXT($A5,"00")&amp;TEXT(L$3,"00"),Samstag!$A$24:$Y$205,16,FALSE))</f>
        <v>42</v>
      </c>
      <c r="L5" s="96" t="s">
        <v>22</v>
      </c>
      <c r="M5" s="97">
        <f>IF(ISERROR(VLOOKUP($A$3&amp;TEXT($A5,"00")&amp;TEXT(L$3,"00"),Samstag!$A$24:$Y$205,18,FALSE)),"",VLOOKUP($A$3&amp;TEXT($A5,"00")&amp;TEXT(L$3,"00"),Samstag!$A$24:$Y$205,18,FALSE))</f>
        <v>35</v>
      </c>
      <c r="N5" s="95">
        <f>IF(ISERROR(VLOOKUP($A$3&amp;TEXT($A5,"00")&amp;TEXT(O$3,"00"),Samstag!$A$24:$Y$205,16,FALSE)),"",VLOOKUP($A$3&amp;TEXT($A5,"00")&amp;TEXT(O$3,"00"),Samstag!$A$24:$Y$205,16,FALSE))</f>
        <v>27</v>
      </c>
      <c r="O5" s="96" t="s">
        <v>22</v>
      </c>
      <c r="P5" s="97">
        <f>IF(ISERROR(VLOOKUP($A$3&amp;TEXT($A5,"00")&amp;TEXT(O$3,"00"),Samstag!$A$24:$Y$205,18,FALSE)),"",VLOOKUP($A$3&amp;TEXT($A5,"00")&amp;TEXT(O$3,"00"),Samstag!$A$24:$Y$205,18,FALSE))</f>
        <v>39</v>
      </c>
      <c r="Q5" s="95">
        <f>IF(ISERROR(VLOOKUP($A$3&amp;TEXT($A5,"00")&amp;TEXT(R$3,"00"),Samstag!$A$24:$Y$205,16,FALSE)),"",VLOOKUP($A$3&amp;TEXT($A5,"00")&amp;TEXT(R$3,"00"),Samstag!$A$24:$Y$205,16,FALSE))</f>
        <v>33</v>
      </c>
      <c r="R5" s="96" t="s">
        <v>22</v>
      </c>
      <c r="S5" s="97">
        <f>IF(ISERROR(VLOOKUP($A$3&amp;TEXT($A5,"00")&amp;TEXT(R$3,"00"),Samstag!$A$24:$Y$205,18,FALSE)),"",VLOOKUP($A$3&amp;TEXT($A5,"00")&amp;TEXT(R$3,"00"),Samstag!$A$24:$Y$205,18,FALSE))</f>
        <v>37</v>
      </c>
      <c r="T5" s="98">
        <f>IF(Y6="","",SUM(E5,H5,K5,N5,Q5))</f>
        <v>131</v>
      </c>
      <c r="U5" s="96" t="s">
        <v>22</v>
      </c>
      <c r="V5" s="99">
        <f>IF(Y6="","",SUM(G5,J5,M5,P5,S5))</f>
        <v>157</v>
      </c>
      <c r="W5" s="100">
        <f>IF(Y5="","",RANK(X6,($X$6,$X$8,$X$10,$X$12,$X$14),0))</f>
        <v>4</v>
      </c>
      <c r="Y5" s="101" t="s">
        <v>197</v>
      </c>
      <c r="Z5" s="102">
        <f>+T5-V5</f>
        <v>-26</v>
      </c>
      <c r="AA5" s="43"/>
      <c r="AB5" s="3">
        <v>1</v>
      </c>
      <c r="AC5" s="3" t="str">
        <f>IF(W5="","",IF($W$5=1,$D$5,IF($W$7=1,$D$7,IF($W$9=1,$D$9,IF($W$11=1,$D$11,IF($W$13=1,$D$13,0))))))</f>
        <v>TV Winterhagen</v>
      </c>
    </row>
    <row r="6" spans="3:27" ht="10.5" customHeight="1">
      <c r="C6" s="103"/>
      <c r="D6" s="104"/>
      <c r="E6" s="105"/>
      <c r="F6" s="106"/>
      <c r="G6" s="107"/>
      <c r="H6" s="108">
        <f>IF(H5=0,"",IF(H5&gt;J5,2,IF(H5&lt;J5,0,1)))</f>
        <v>0</v>
      </c>
      <c r="I6" s="52" t="s">
        <v>23</v>
      </c>
      <c r="J6" s="109">
        <f>IF(J5=0,"",IF(J5&gt;H5,2,IF(J5&lt;H5,0,1)))</f>
        <v>2</v>
      </c>
      <c r="K6" s="108">
        <f>IF(K5=0,"",IF(K5&gt;M5,2,IF(K5&lt;M5,0,1)))</f>
        <v>2</v>
      </c>
      <c r="L6" s="52" t="s">
        <v>23</v>
      </c>
      <c r="M6" s="109">
        <f>IF(M5=0,"",IF(M5&gt;K5,2,IF(M5&lt;K5,0,1)))</f>
        <v>0</v>
      </c>
      <c r="N6" s="108">
        <f>IF(N5=0,"",IF(N5&gt;P5,2,IF(N5&lt;P5,0,1)))</f>
        <v>0</v>
      </c>
      <c r="O6" s="52" t="s">
        <v>23</v>
      </c>
      <c r="P6" s="109">
        <f>IF(P5=0,"",IF(P5&gt;N5,2,IF(P5&lt;N5,0,1)))</f>
        <v>2</v>
      </c>
      <c r="Q6" s="108">
        <f>IF(Q5=0,"",IF(Q5&gt;S5,2,IF(Q5&lt;S5,0,1)))</f>
        <v>0</v>
      </c>
      <c r="R6" s="52" t="s">
        <v>23</v>
      </c>
      <c r="S6" s="109">
        <f>IF(S5=0,"",IF(S5&gt;Q5,2,IF(S5&lt;Q5,0,1)))</f>
        <v>2</v>
      </c>
      <c r="T6" s="108">
        <f>IF(Y6="","",SUM(E6,H6,K6,N6,Q6))</f>
        <v>2</v>
      </c>
      <c r="U6" s="52" t="s">
        <v>23</v>
      </c>
      <c r="V6" s="109">
        <f>IF(Y6="","",SUM(G6,J6,M6,P6,S6))</f>
        <v>6</v>
      </c>
      <c r="W6" s="110"/>
      <c r="X6" s="111">
        <f>+(T6-V6)+T5/V5+T6</f>
        <v>-1.1656050955414012</v>
      </c>
      <c r="Y6" s="101" t="s">
        <v>197</v>
      </c>
      <c r="Z6" s="33"/>
      <c r="AA6" s="43"/>
    </row>
    <row r="7" spans="1:29" ht="15" customHeight="1">
      <c r="A7" s="33">
        <v>2</v>
      </c>
      <c r="C7" s="90" t="str">
        <f>IF(Daten!B7="","",Daten!B7)</f>
        <v>NI</v>
      </c>
      <c r="D7" s="91" t="str">
        <f>IF(Daten!C7="","",Daten!C7)</f>
        <v>TV Sottrum</v>
      </c>
      <c r="E7" s="95">
        <f>IF(J5=0,"",J5)</f>
        <v>46</v>
      </c>
      <c r="F7" s="96" t="s">
        <v>22</v>
      </c>
      <c r="G7" s="97">
        <f>IF(H5=0,"",H5)</f>
        <v>29</v>
      </c>
      <c r="H7" s="92"/>
      <c r="I7" s="93"/>
      <c r="J7" s="94"/>
      <c r="K7" s="95">
        <f>IF(ISERROR(VLOOKUP($A$3&amp;TEXT($A7,"00")&amp;TEXT(L$3,"00"),Samstag!$A$24:$Y$205,16,FALSE)),"",VLOOKUP($A$3&amp;TEXT($A7,"00")&amp;TEXT(L$3,"00"),Samstag!$A$24:$Y$205,16,FALSE))</f>
        <v>47</v>
      </c>
      <c r="L7" s="96" t="s">
        <v>22</v>
      </c>
      <c r="M7" s="97">
        <f>IF(ISERROR(VLOOKUP($A$3&amp;TEXT($A7,"00")&amp;TEXT(L$3,"00"),Samstag!$A$24:$Y$205,18,FALSE)),"",VLOOKUP($A$3&amp;TEXT($A7,"00")&amp;TEXT(L$3,"00"),Samstag!$A$24:$Y$205,18,FALSE))</f>
        <v>22</v>
      </c>
      <c r="N7" s="95">
        <f>IF(ISERROR(VLOOKUP($A$3&amp;TEXT($A7,"00")&amp;TEXT(O$3,"00"),Samstag!$A$24:$Y$205,16,FALSE)),"",VLOOKUP($A$3&amp;TEXT($A7,"00")&amp;TEXT(O$3,"00"),Samstag!$A$24:$Y$205,16,FALSE))</f>
        <v>35</v>
      </c>
      <c r="O7" s="96" t="s">
        <v>22</v>
      </c>
      <c r="P7" s="97">
        <f>IF(ISERROR(VLOOKUP($A$3&amp;TEXT($A7,"00")&amp;TEXT(O$3,"00"),Samstag!$A$24:$Y$205,18,FALSE)),"",VLOOKUP($A$3&amp;TEXT($A7,"00")&amp;TEXT(O$3,"00"),Samstag!$A$24:$Y$205,18,FALSE))</f>
        <v>36</v>
      </c>
      <c r="Q7" s="95">
        <f>IF(ISERROR(VLOOKUP($A$3&amp;TEXT($A7,"00")&amp;TEXT(R$3,"00"),Samstag!$A$24:$Y$205,16,FALSE)),"",VLOOKUP($A$3&amp;TEXT($A7,"00")&amp;TEXT(R$3,"00"),Samstag!$A$24:$Y$205,16,FALSE))</f>
        <v>37</v>
      </c>
      <c r="R7" s="96" t="s">
        <v>22</v>
      </c>
      <c r="S7" s="97">
        <f>IF(ISERROR(VLOOKUP($A$3&amp;TEXT($A7,"00")&amp;TEXT(R$3,"00"),Samstag!$A$24:$Y$205,18,FALSE)),"",VLOOKUP($A$3&amp;TEXT($A7,"00")&amp;TEXT(R$3,"00"),Samstag!$A$24:$Y$205,18,FALSE))</f>
        <v>33</v>
      </c>
      <c r="T7" s="98">
        <f>IF(Y8="","",SUM(E7,H7,K7,N7,Q7))</f>
        <v>165</v>
      </c>
      <c r="U7" s="96" t="s">
        <v>22</v>
      </c>
      <c r="V7" s="99">
        <f>IF(Y8="","",SUM(G7,J7,M7,P7,S7))</f>
        <v>120</v>
      </c>
      <c r="W7" s="112">
        <f>IF(Y7="","",RANK(X8,($X$6,$X$8,$X$10,$X$12,$X$14),0))</f>
        <v>2</v>
      </c>
      <c r="Y7" s="101" t="s">
        <v>197</v>
      </c>
      <c r="Z7" s="102">
        <f>+T7-V7</f>
        <v>45</v>
      </c>
      <c r="AA7" s="43"/>
      <c r="AB7" s="3">
        <v>2</v>
      </c>
      <c r="AC7" s="3" t="str">
        <f>IF(W7="","",IF($W$5=2,$D$5,IF($W$7=2,$D$7,IF($W$9=2,$D$9,IF($W$11=2,$D$11,IF($W$13=2,$D$13,0))))))</f>
        <v>TV Sottrum</v>
      </c>
    </row>
    <row r="8" spans="3:27" ht="10.5" customHeight="1">
      <c r="C8" s="103"/>
      <c r="D8" s="104"/>
      <c r="E8" s="108">
        <f>IF(E7="","",IF(E7&gt;G7,2,IF(E7&lt;G7,0,1)))</f>
        <v>2</v>
      </c>
      <c r="F8" s="52" t="s">
        <v>23</v>
      </c>
      <c r="G8" s="109">
        <f>IF(G7="","",IF(G7&gt;E7,2,IF(G7&lt;E7,0,1)))</f>
        <v>0</v>
      </c>
      <c r="H8" s="105"/>
      <c r="I8" s="106"/>
      <c r="J8" s="107"/>
      <c r="K8" s="108">
        <f>IF(K7=0,"",IF(K7&gt;M7,2,IF(K7&lt;M7,0,1)))</f>
        <v>2</v>
      </c>
      <c r="L8" s="52" t="s">
        <v>23</v>
      </c>
      <c r="M8" s="109">
        <f>IF(M7=0,"",IF(M7&gt;K7,2,IF(M7&lt;K7,0,1)))</f>
        <v>0</v>
      </c>
      <c r="N8" s="108">
        <f>IF(N7=0,"",IF(N7&gt;P7,2,IF(N7&lt;P7,0,1)))</f>
        <v>0</v>
      </c>
      <c r="O8" s="52" t="s">
        <v>23</v>
      </c>
      <c r="P8" s="109">
        <f>IF(P7=0,"",IF(P7&gt;N7,2,IF(P7&lt;N7,0,1)))</f>
        <v>2</v>
      </c>
      <c r="Q8" s="108">
        <f>IF(Q7=0,"",IF(Q7&gt;S7,2,IF(Q7&lt;S7,0,1)))</f>
        <v>2</v>
      </c>
      <c r="R8" s="52" t="s">
        <v>23</v>
      </c>
      <c r="S8" s="109">
        <f>IF(S7=0,"",IF(S7&gt;Q7,2,IF(S7&lt;Q7,0,1)))</f>
        <v>0</v>
      </c>
      <c r="T8" s="108">
        <f>IF(Y8="","",SUM(E8,H8,K8,N8,Q8))</f>
        <v>6</v>
      </c>
      <c r="U8" s="52" t="s">
        <v>23</v>
      </c>
      <c r="V8" s="109">
        <f>IF(Y8="","",SUM(G8,J8,M8,P8,S8))</f>
        <v>2</v>
      </c>
      <c r="W8" s="110"/>
      <c r="X8" s="111">
        <f>+(T8-V8)+T7/V7+T8</f>
        <v>11.375</v>
      </c>
      <c r="Y8" s="101" t="s">
        <v>197</v>
      </c>
      <c r="Z8" s="33"/>
      <c r="AA8" s="43"/>
    </row>
    <row r="9" spans="1:29" ht="15" customHeight="1">
      <c r="A9" s="33">
        <v>3</v>
      </c>
      <c r="C9" s="90" t="str">
        <f>IF(Daten!B8="","",Daten!B8)</f>
        <v>WE</v>
      </c>
      <c r="D9" s="91" t="str">
        <f>IF(Daten!C8="","",Daten!C8)</f>
        <v>TuS Meinerzhagen</v>
      </c>
      <c r="E9" s="98">
        <f>IF(M5=0,"",M5)</f>
        <v>35</v>
      </c>
      <c r="F9" s="96" t="s">
        <v>22</v>
      </c>
      <c r="G9" s="99">
        <f>IF(K5=0,"",K5)</f>
        <v>42</v>
      </c>
      <c r="H9" s="98">
        <f>IF(M7=0,"",M7)</f>
        <v>22</v>
      </c>
      <c r="I9" s="96" t="s">
        <v>22</v>
      </c>
      <c r="J9" s="99">
        <f>IF(K7=0,"",K7)</f>
        <v>47</v>
      </c>
      <c r="K9" s="92"/>
      <c r="L9" s="93"/>
      <c r="M9" s="94"/>
      <c r="N9" s="95">
        <f>IF(ISERROR(VLOOKUP($A$3&amp;TEXT($A9,"00")&amp;TEXT(O$3,"00"),Samstag!$A$24:$Y$205,16,FALSE)),"",VLOOKUP($A$3&amp;TEXT($A9,"00")&amp;TEXT(O$3,"00"),Samstag!$A$24:$Y$205,16,FALSE))</f>
        <v>22</v>
      </c>
      <c r="O9" s="96" t="s">
        <v>22</v>
      </c>
      <c r="P9" s="97">
        <f>IF(ISERROR(VLOOKUP($A$3&amp;TEXT($A9,"00")&amp;TEXT(O$3,"00"),Samstag!$A$24:$Y$205,18,FALSE)),"",VLOOKUP($A$3&amp;TEXT($A9,"00")&amp;TEXT(O$3,"00"),Samstag!$A$24:$Y$205,18,FALSE))</f>
        <v>49</v>
      </c>
      <c r="Q9" s="95">
        <f>IF(ISERROR(VLOOKUP($A$3&amp;TEXT($A9,"00")&amp;TEXT(R$3,"00"),Samstag!$A$24:$Y$205,16,FALSE)),"",VLOOKUP($A$3&amp;TEXT($A9,"00")&amp;TEXT(R$3,"00"),Samstag!$A$24:$Y$205,16,FALSE))</f>
        <v>27</v>
      </c>
      <c r="R9" s="96" t="s">
        <v>22</v>
      </c>
      <c r="S9" s="97">
        <f>IF(ISERROR(VLOOKUP($A$3&amp;TEXT($A9,"00")&amp;TEXT(R$3,"00"),Samstag!$A$24:$Y$205,18,FALSE)),"",VLOOKUP($A$3&amp;TEXT($A9,"00")&amp;TEXT(R$3,"00"),Samstag!$A$24:$Y$205,18,FALSE))</f>
        <v>34</v>
      </c>
      <c r="T9" s="98">
        <f>IF(Y10="","",SUM(E9,H9,K9,N9,Q9))</f>
        <v>106</v>
      </c>
      <c r="U9" s="96" t="s">
        <v>22</v>
      </c>
      <c r="V9" s="99">
        <f>IF(Y10="","",SUM(G9,J9,M9,P9,S9))</f>
        <v>172</v>
      </c>
      <c r="W9" s="112">
        <f>IF(Y9="","",RANK(X10,($X$6,$X$8,$X$10,$X$12,$X$14),0))</f>
        <v>5</v>
      </c>
      <c r="Y9" s="101" t="s">
        <v>197</v>
      </c>
      <c r="Z9" s="102">
        <f>+T9-V9</f>
        <v>-66</v>
      </c>
      <c r="AA9" s="43"/>
      <c r="AB9" s="3">
        <v>3</v>
      </c>
      <c r="AC9" s="3" t="str">
        <f>IF(W9="","",IF($W$5=3,$D$5,IF($W$7=3,$D$7,IF($W$9=3,$D$9,IF($W$11=3,$D$11,IF($W$13=3,$D$13,0))))))</f>
        <v>TV Rieschweiler</v>
      </c>
    </row>
    <row r="10" spans="3:27" ht="10.5" customHeight="1">
      <c r="C10" s="113"/>
      <c r="D10" s="104"/>
      <c r="E10" s="108">
        <f>IF(E9="","",IF(E9&gt;G9,2,IF(E9&lt;G9,0,1)))</f>
        <v>0</v>
      </c>
      <c r="F10" s="52" t="s">
        <v>23</v>
      </c>
      <c r="G10" s="109">
        <f>IF(G9="","",IF(G9&gt;E9,2,IF(G9&lt;E9,0,1)))</f>
        <v>2</v>
      </c>
      <c r="H10" s="108">
        <f>IF(H9="","",IF(H9&gt;J9,2,IF(H9&lt;J9,0,1)))</f>
        <v>0</v>
      </c>
      <c r="I10" s="52" t="s">
        <v>23</v>
      </c>
      <c r="J10" s="109">
        <f>IF(J9="","",IF(J9&gt;H9,2,IF(J9&lt;H9,0,1)))</f>
        <v>2</v>
      </c>
      <c r="K10" s="105"/>
      <c r="L10" s="106"/>
      <c r="M10" s="107"/>
      <c r="N10" s="108">
        <f>IF(N9=0,"",IF(N9&gt;P9,2,IF(N9&lt;P9,0,1)))</f>
        <v>0</v>
      </c>
      <c r="O10" s="52" t="s">
        <v>23</v>
      </c>
      <c r="P10" s="109">
        <f>IF(P9=0,"",IF(P9&gt;N9,2,IF(P9&lt;N9,0,1)))</f>
        <v>2</v>
      </c>
      <c r="Q10" s="108">
        <f>IF(Q9=0,"",IF(Q9&gt;S9,2,IF(Q9&lt;S9,0,1)))</f>
        <v>0</v>
      </c>
      <c r="R10" s="52" t="s">
        <v>23</v>
      </c>
      <c r="S10" s="109">
        <f>IF(S9=0,"",IF(S9&gt;Q9,2,IF(S9&lt;Q9,0,1)))</f>
        <v>2</v>
      </c>
      <c r="T10" s="108">
        <f>IF(Y10="","",SUM(E10,H10,K10,N10,Q10))</f>
        <v>0</v>
      </c>
      <c r="U10" s="52" t="s">
        <v>23</v>
      </c>
      <c r="V10" s="109">
        <f>IF(Y10="","",SUM(G10,J10,M10,P10,S10))</f>
        <v>8</v>
      </c>
      <c r="W10" s="110"/>
      <c r="X10" s="111">
        <f>+(T10-V10)+T9/V9+T10</f>
        <v>-7.383720930232558</v>
      </c>
      <c r="Y10" s="101" t="s">
        <v>197</v>
      </c>
      <c r="Z10" s="33"/>
      <c r="AA10" s="43"/>
    </row>
    <row r="11" spans="1:29" ht="15" customHeight="1">
      <c r="A11" s="33">
        <v>4</v>
      </c>
      <c r="C11" s="90" t="str">
        <f>IF(Daten!B9="","",Daten!B9)</f>
        <v>RL</v>
      </c>
      <c r="D11" s="91" t="str">
        <f>IF(Daten!C9="","",Daten!C9)</f>
        <v>TV Winterhagen</v>
      </c>
      <c r="E11" s="98">
        <f>IF(P5=0,"",P5)</f>
        <v>39</v>
      </c>
      <c r="F11" s="96" t="s">
        <v>22</v>
      </c>
      <c r="G11" s="99">
        <f>IF(N5=0,"",N5)</f>
        <v>27</v>
      </c>
      <c r="H11" s="98">
        <f>IF(P7=0,"",P7)</f>
        <v>36</v>
      </c>
      <c r="I11" s="96" t="s">
        <v>22</v>
      </c>
      <c r="J11" s="99">
        <f>IF(N7=0,"",N7)</f>
        <v>35</v>
      </c>
      <c r="K11" s="98">
        <f>IF(P9=0,"",P9)</f>
        <v>49</v>
      </c>
      <c r="L11" s="96" t="s">
        <v>22</v>
      </c>
      <c r="M11" s="99">
        <f>IF(N9=0,"",N9)</f>
        <v>22</v>
      </c>
      <c r="N11" s="92"/>
      <c r="O11" s="93"/>
      <c r="P11" s="94"/>
      <c r="Q11" s="95">
        <f>IF(ISERROR(VLOOKUP($A$3&amp;TEXT($A11,"00")&amp;TEXT(R$3,"00"),Samstag!$A$24:$Y$205,16,FALSE)),"",VLOOKUP($A$3&amp;TEXT($A11,"00")&amp;TEXT(R$3,"00"),Samstag!$A$24:$Y$205,16,FALSE))</f>
        <v>46</v>
      </c>
      <c r="R11" s="96" t="s">
        <v>22</v>
      </c>
      <c r="S11" s="97">
        <f>IF(ISERROR(VLOOKUP($A$3&amp;TEXT($A11,"00")&amp;TEXT(R$3,"00"),Samstag!$A$24:$Y$205,18,FALSE)),"",VLOOKUP($A$3&amp;TEXT($A11,"00")&amp;TEXT(R$3,"00"),Samstag!$A$24:$Y$205,18,FALSE))</f>
        <v>21</v>
      </c>
      <c r="T11" s="98">
        <f>IF(Y12="","",SUM(E11,H11,K11,N11,Q11))</f>
        <v>170</v>
      </c>
      <c r="U11" s="96" t="s">
        <v>22</v>
      </c>
      <c r="V11" s="99">
        <f>IF(Y12="","",SUM(G11,J11,M11,P11,S11))</f>
        <v>105</v>
      </c>
      <c r="W11" s="112">
        <f>IF(Y11="","",RANK(X12,($X$6,$X$8,$X$10,$X$12,$X$14),0))</f>
        <v>1</v>
      </c>
      <c r="Y11" s="101" t="s">
        <v>197</v>
      </c>
      <c r="Z11" s="102">
        <f>+T11-V11</f>
        <v>65</v>
      </c>
      <c r="AA11" s="43"/>
      <c r="AB11" s="3">
        <v>4</v>
      </c>
      <c r="AC11" s="3" t="str">
        <f>IF(W11="","",IF($W$5=4,$D$5,IF($W$7=4,$D$7,IF($W$9=4,$D$9,IF($W$11=4,$D$11,IF($W$13=4,$D$13,0))))))</f>
        <v>MTV Eiche Schönebeck</v>
      </c>
    </row>
    <row r="12" spans="3:27" ht="10.5" customHeight="1">
      <c r="C12" s="113"/>
      <c r="D12" s="104"/>
      <c r="E12" s="108">
        <f>IF(E11="","",IF(E11&gt;G11,2,IF(E11&lt;G11,0,1)))</f>
        <v>2</v>
      </c>
      <c r="F12" s="52" t="s">
        <v>23</v>
      </c>
      <c r="G12" s="109">
        <f>IF(G11="","",IF(G11&gt;E11,2,IF(G11&lt;E11,0,1)))</f>
        <v>0</v>
      </c>
      <c r="H12" s="108">
        <f>IF(H11="","",IF(H11&gt;J11,2,IF(H11&lt;J11,0,1)))</f>
        <v>2</v>
      </c>
      <c r="I12" s="52" t="s">
        <v>23</v>
      </c>
      <c r="J12" s="109">
        <f>IF(J11="","",IF(J11&gt;H11,2,IF(J11&lt;H11,0,1)))</f>
        <v>0</v>
      </c>
      <c r="K12" s="108">
        <f>IF(K11="","",IF(K11&gt;M11,2,IF(K11&lt;M11,0,1)))</f>
        <v>2</v>
      </c>
      <c r="L12" s="52" t="s">
        <v>23</v>
      </c>
      <c r="M12" s="109">
        <f>IF(M11="","",IF(M11&gt;K11,2,IF(M11&lt;K11,0,1)))</f>
        <v>0</v>
      </c>
      <c r="N12" s="105"/>
      <c r="O12" s="106"/>
      <c r="P12" s="107"/>
      <c r="Q12" s="108">
        <f>IF(Q11=0,"",IF(Q11&gt;S11,2,IF(Q11&lt;S11,0,1)))</f>
        <v>2</v>
      </c>
      <c r="R12" s="52" t="s">
        <v>23</v>
      </c>
      <c r="S12" s="109">
        <f>IF(S11=0,"",IF(S11&gt;Q11,2,IF(S11&lt;Q11,0,1)))</f>
        <v>0</v>
      </c>
      <c r="T12" s="108">
        <f>IF(Y12="","",SUM(E12,H12,K12,N12,Q12))</f>
        <v>8</v>
      </c>
      <c r="U12" s="52" t="s">
        <v>23</v>
      </c>
      <c r="V12" s="109">
        <f>IF(Y12="","",SUM(G12,J12,M12,P12,S12))</f>
        <v>0</v>
      </c>
      <c r="W12" s="110"/>
      <c r="X12" s="111">
        <f>+(T12-V12)+T11/V11+T12</f>
        <v>17.61904761904762</v>
      </c>
      <c r="Y12" s="101" t="s">
        <v>197</v>
      </c>
      <c r="Z12" s="33"/>
      <c r="AA12" s="43"/>
    </row>
    <row r="13" spans="1:29" ht="15" customHeight="1">
      <c r="A13" s="33">
        <v>5</v>
      </c>
      <c r="C13" s="90" t="str">
        <f>IF(Daten!B10="","",Daten!B10)</f>
        <v>PF</v>
      </c>
      <c r="D13" s="91" t="str">
        <f>IF(Daten!C10="","",Daten!C10)</f>
        <v>TV Rieschweiler</v>
      </c>
      <c r="E13" s="98">
        <f>IF(S5=0,"",S5)</f>
        <v>37</v>
      </c>
      <c r="F13" s="96" t="s">
        <v>22</v>
      </c>
      <c r="G13" s="99">
        <f>IF(Q5=0,"",Q5)</f>
        <v>33</v>
      </c>
      <c r="H13" s="98">
        <f>IF(S7=0,"",S7)</f>
        <v>33</v>
      </c>
      <c r="I13" s="96" t="s">
        <v>22</v>
      </c>
      <c r="J13" s="99">
        <f>IF(Q7=0,"",Q7)</f>
        <v>37</v>
      </c>
      <c r="K13" s="98">
        <f>IF(S9=0,"",S9)</f>
        <v>34</v>
      </c>
      <c r="L13" s="96" t="s">
        <v>22</v>
      </c>
      <c r="M13" s="99">
        <f>IF(Q9=0,"",Q9)</f>
        <v>27</v>
      </c>
      <c r="N13" s="98">
        <f>IF(S11=0,"",S11)</f>
        <v>21</v>
      </c>
      <c r="O13" s="96" t="s">
        <v>22</v>
      </c>
      <c r="P13" s="99">
        <f>IF(Q11=0,"",Q11)</f>
        <v>46</v>
      </c>
      <c r="Q13" s="92"/>
      <c r="R13" s="93"/>
      <c r="S13" s="94"/>
      <c r="T13" s="98">
        <f>IF(Y14="","",SUM(E13,H13,K13,N13,Q13))</f>
        <v>125</v>
      </c>
      <c r="U13" s="96" t="s">
        <v>22</v>
      </c>
      <c r="V13" s="99">
        <f>IF(Y14="","",SUM(G13,J13,M13,P13,S13))</f>
        <v>143</v>
      </c>
      <c r="W13" s="112">
        <f>IF(Y13="","",RANK(X14,($X$6,$X$8,$X$10,$X$12,$X$14),0))</f>
        <v>3</v>
      </c>
      <c r="Y13" s="101" t="s">
        <v>197</v>
      </c>
      <c r="Z13" s="102">
        <f>+T13-V13</f>
        <v>-18</v>
      </c>
      <c r="AA13" s="43"/>
      <c r="AB13" s="3">
        <v>5</v>
      </c>
      <c r="AC13" s="3" t="str">
        <f>IF(W13="","",IF($W$5=5,$D$5,IF($W$7=5,$D$7,IF($W$9=5,$D$9,IF($W$11=5,$D$11,IF($W$13=5,$D$13,0))))))</f>
        <v>TuS Meinerzhagen</v>
      </c>
    </row>
    <row r="14" spans="3:27" ht="10.5" customHeight="1">
      <c r="C14" s="113"/>
      <c r="D14" s="114"/>
      <c r="E14" s="108">
        <f>IF(E13="","",IF(E13&gt;G13,2,IF(E13&lt;G13,0,1)))</f>
        <v>2</v>
      </c>
      <c r="F14" s="52" t="s">
        <v>23</v>
      </c>
      <c r="G14" s="109">
        <f>IF(G13="","",IF(G13&gt;E13,2,IF(G13&lt;E13,0,1)))</f>
        <v>0</v>
      </c>
      <c r="H14" s="108">
        <f>IF(H13="","",IF(H13&gt;J13,2,IF(H13&lt;J13,0,1)))</f>
        <v>0</v>
      </c>
      <c r="I14" s="52" t="s">
        <v>23</v>
      </c>
      <c r="J14" s="109">
        <f>IF(J13="","",IF(J13&gt;H13,2,IF(J13&lt;H13,0,1)))</f>
        <v>2</v>
      </c>
      <c r="K14" s="108">
        <f>IF(K13="","",IF(K13&gt;M13,2,IF(K13&lt;M13,0,1)))</f>
        <v>2</v>
      </c>
      <c r="L14" s="52" t="s">
        <v>23</v>
      </c>
      <c r="M14" s="109">
        <f>IF(M13="","",IF(M13&gt;K13,2,IF(M13&lt;K13,0,1)))</f>
        <v>0</v>
      </c>
      <c r="N14" s="108">
        <f>IF(N13="","",IF(N13&gt;P13,2,IF(N13&lt;P13,0,1)))</f>
        <v>0</v>
      </c>
      <c r="O14" s="52" t="s">
        <v>23</v>
      </c>
      <c r="P14" s="109">
        <f>IF(P13="","",IF(P13&gt;N13,2,IF(P13&lt;N13,0,1)))</f>
        <v>2</v>
      </c>
      <c r="Q14" s="105"/>
      <c r="R14" s="106"/>
      <c r="S14" s="107"/>
      <c r="T14" s="108">
        <f>IF(Y14="","",SUM(E14,H14,K14,N14,Q14))</f>
        <v>4</v>
      </c>
      <c r="U14" s="52" t="s">
        <v>23</v>
      </c>
      <c r="V14" s="109">
        <f>IF(Y14="","",SUM(G14,J14,M14,P14,S14))</f>
        <v>4</v>
      </c>
      <c r="W14" s="110"/>
      <c r="X14" s="111">
        <f>+(T14-V14)+T13/V13+T14</f>
        <v>4.874125874125874</v>
      </c>
      <c r="Y14" s="101" t="s">
        <v>197</v>
      </c>
      <c r="Z14" s="33"/>
      <c r="AA14" s="43"/>
    </row>
    <row r="15" spans="3:27" ht="9.75" customHeight="1">
      <c r="C15" s="115"/>
      <c r="D15" s="115"/>
      <c r="E15" s="116"/>
      <c r="F15" s="96"/>
      <c r="G15" s="117"/>
      <c r="H15" s="116"/>
      <c r="I15" s="96"/>
      <c r="J15" s="117"/>
      <c r="K15" s="116"/>
      <c r="L15" s="96"/>
      <c r="M15" s="117"/>
      <c r="N15" s="116"/>
      <c r="O15" s="96"/>
      <c r="P15" s="117"/>
      <c r="Q15" s="118"/>
      <c r="R15" s="118"/>
      <c r="S15" s="118"/>
      <c r="T15" s="116"/>
      <c r="U15" s="96"/>
      <c r="V15" s="117"/>
      <c r="W15" s="119"/>
      <c r="X15" s="111"/>
      <c r="Y15" s="101"/>
      <c r="Z15" s="33"/>
      <c r="AA15" s="43"/>
    </row>
    <row r="16" spans="3:27" ht="9.75" customHeight="1" hidden="1" outlineLevel="1">
      <c r="C16" s="120" t="s">
        <v>24</v>
      </c>
      <c r="D16" s="121" t="str">
        <f>+D5</f>
        <v>MTV Eiche Schönebeck</v>
      </c>
      <c r="E16" s="122"/>
      <c r="F16" s="123"/>
      <c r="G16" s="124"/>
      <c r="H16" s="125"/>
      <c r="I16" s="126" t="s">
        <v>22</v>
      </c>
      <c r="J16" s="127"/>
      <c r="K16" s="125"/>
      <c r="L16" s="126" t="s">
        <v>22</v>
      </c>
      <c r="M16" s="127"/>
      <c r="N16" s="125"/>
      <c r="O16" s="126" t="s">
        <v>22</v>
      </c>
      <c r="P16" s="127"/>
      <c r="Q16" s="128"/>
      <c r="R16" s="126" t="s">
        <v>22</v>
      </c>
      <c r="S16" s="129"/>
      <c r="T16" s="56"/>
      <c r="U16" s="130"/>
      <c r="V16" s="131"/>
      <c r="W16" s="132"/>
      <c r="X16" s="111"/>
      <c r="Y16" s="101"/>
      <c r="Z16" s="33"/>
      <c r="AA16" s="43"/>
    </row>
    <row r="17" spans="3:27" ht="9.75" customHeight="1" hidden="1" outlineLevel="1">
      <c r="C17" s="133"/>
      <c r="D17" s="121" t="str">
        <f>+D7</f>
        <v>TV Sottrum</v>
      </c>
      <c r="E17" s="125">
        <f>IF(J16="","",J16)</f>
      </c>
      <c r="F17" s="126" t="s">
        <v>22</v>
      </c>
      <c r="G17" s="127">
        <f>IF(H16="","",H16)</f>
      </c>
      <c r="H17" s="122"/>
      <c r="I17" s="123"/>
      <c r="J17" s="124"/>
      <c r="K17" s="125"/>
      <c r="L17" s="126" t="s">
        <v>22</v>
      </c>
      <c r="M17" s="127"/>
      <c r="N17" s="125"/>
      <c r="O17" s="126" t="s">
        <v>22</v>
      </c>
      <c r="P17" s="127"/>
      <c r="Q17" s="128"/>
      <c r="R17" s="126" t="s">
        <v>22</v>
      </c>
      <c r="S17" s="129"/>
      <c r="T17" s="56"/>
      <c r="U17" s="130"/>
      <c r="V17" s="131"/>
      <c r="W17" s="132"/>
      <c r="X17" s="111"/>
      <c r="Y17" s="101"/>
      <c r="Z17" s="33"/>
      <c r="AA17" s="43"/>
    </row>
    <row r="18" spans="3:27" ht="9.75" customHeight="1" hidden="1" outlineLevel="1">
      <c r="C18" s="133"/>
      <c r="D18" s="121" t="str">
        <f>+D9</f>
        <v>TuS Meinerzhagen</v>
      </c>
      <c r="E18" s="125">
        <f>IF(M16="","",M16)</f>
      </c>
      <c r="F18" s="126" t="s">
        <v>22</v>
      </c>
      <c r="G18" s="127">
        <f>IF(K16="","",K16)</f>
      </c>
      <c r="H18" s="125">
        <f>IF(M17="","",M17)</f>
      </c>
      <c r="I18" s="126" t="s">
        <v>22</v>
      </c>
      <c r="J18" s="127">
        <f>IF(K17="","",K17)</f>
      </c>
      <c r="K18" s="122"/>
      <c r="L18" s="123"/>
      <c r="M18" s="124"/>
      <c r="N18" s="125"/>
      <c r="O18" s="126" t="s">
        <v>22</v>
      </c>
      <c r="P18" s="127"/>
      <c r="Q18" s="128"/>
      <c r="R18" s="126" t="s">
        <v>22</v>
      </c>
      <c r="S18" s="129"/>
      <c r="T18" s="56"/>
      <c r="U18" s="130"/>
      <c r="V18" s="131"/>
      <c r="W18" s="132"/>
      <c r="X18" s="111"/>
      <c r="Y18" s="101"/>
      <c r="Z18" s="33"/>
      <c r="AA18" s="43"/>
    </row>
    <row r="19" spans="3:27" ht="9.75" customHeight="1" hidden="1" outlineLevel="1">
      <c r="C19" s="133"/>
      <c r="D19" s="121" t="str">
        <f>+D11</f>
        <v>TV Winterhagen</v>
      </c>
      <c r="E19" s="125">
        <f>IF(P16="","",P16)</f>
      </c>
      <c r="F19" s="126" t="s">
        <v>22</v>
      </c>
      <c r="G19" s="127">
        <f>IF(N16="","",N16)</f>
      </c>
      <c r="H19" s="125">
        <f>IF(P17="","",P17)</f>
      </c>
      <c r="I19" s="126" t="s">
        <v>22</v>
      </c>
      <c r="J19" s="127">
        <f>IF(N17="","",N17)</f>
      </c>
      <c r="K19" s="125">
        <f>IF(P18="","",P18)</f>
      </c>
      <c r="L19" s="126" t="s">
        <v>22</v>
      </c>
      <c r="M19" s="127">
        <f>IF(N18="","",N18)</f>
      </c>
      <c r="N19" s="122"/>
      <c r="O19" s="123"/>
      <c r="P19" s="124"/>
      <c r="Q19" s="128"/>
      <c r="R19" s="126" t="s">
        <v>22</v>
      </c>
      <c r="S19" s="129"/>
      <c r="T19" s="56"/>
      <c r="U19" s="130"/>
      <c r="V19" s="131"/>
      <c r="W19" s="132"/>
      <c r="X19" s="111"/>
      <c r="Y19" s="101"/>
      <c r="Z19" s="33"/>
      <c r="AA19" s="43"/>
    </row>
    <row r="20" spans="3:27" ht="9.75" customHeight="1" hidden="1" outlineLevel="1">
      <c r="C20" s="133"/>
      <c r="D20" s="121" t="str">
        <f>+D13</f>
        <v>TV Rieschweiler</v>
      </c>
      <c r="E20" s="125">
        <f>IF(S16="","",S16)</f>
      </c>
      <c r="F20" s="126" t="s">
        <v>22</v>
      </c>
      <c r="G20" s="127">
        <f>IF(Q16="","",Q16)</f>
      </c>
      <c r="H20" s="125">
        <f>IF(S17="","",S17)</f>
      </c>
      <c r="I20" s="126" t="s">
        <v>22</v>
      </c>
      <c r="J20" s="127">
        <f>IF(Q17="","",Q17)</f>
      </c>
      <c r="K20" s="125">
        <f>IF(S18="","",S18)</f>
      </c>
      <c r="L20" s="126" t="s">
        <v>22</v>
      </c>
      <c r="M20" s="127">
        <f>IF(Q18="","",Q18)</f>
      </c>
      <c r="N20" s="125">
        <f>IF(S19="","",S19)</f>
      </c>
      <c r="O20" s="126" t="s">
        <v>22</v>
      </c>
      <c r="P20" s="127">
        <f>IF(Q19="","",Q19)</f>
      </c>
      <c r="Q20" s="122"/>
      <c r="R20" s="123"/>
      <c r="S20" s="124"/>
      <c r="T20" s="56"/>
      <c r="U20" s="130"/>
      <c r="V20" s="131"/>
      <c r="W20" s="132"/>
      <c r="X20" s="111"/>
      <c r="Y20" s="101"/>
      <c r="Z20" s="33"/>
      <c r="AA20" s="43"/>
    </row>
    <row r="21" spans="5:27" ht="12.75" collapsed="1">
      <c r="E21" s="134"/>
      <c r="F21" s="134">
        <v>11</v>
      </c>
      <c r="G21" s="134"/>
      <c r="H21" s="134"/>
      <c r="I21" s="134">
        <v>12</v>
      </c>
      <c r="J21" s="134"/>
      <c r="K21" s="134"/>
      <c r="L21" s="134">
        <v>13</v>
      </c>
      <c r="M21" s="134"/>
      <c r="N21" s="134"/>
      <c r="O21" s="134">
        <v>14</v>
      </c>
      <c r="P21" s="134"/>
      <c r="Q21" s="134"/>
      <c r="R21" s="134">
        <v>15</v>
      </c>
      <c r="S21" s="134"/>
      <c r="Z21" s="33"/>
      <c r="AA21" s="43"/>
    </row>
    <row r="22" spans="3:27" ht="12.75" customHeight="1">
      <c r="C22" s="135"/>
      <c r="D22" s="136" t="str">
        <f>+Daten!F5</f>
        <v>Gruppe B</v>
      </c>
      <c r="E22" s="83"/>
      <c r="F22" s="81" t="str">
        <f>+D23</f>
        <v>TV Mahndorf</v>
      </c>
      <c r="G22" s="84"/>
      <c r="H22" s="83"/>
      <c r="I22" s="81" t="str">
        <f>+D25</f>
        <v>MTV Wohnste</v>
      </c>
      <c r="J22" s="84"/>
      <c r="K22" s="83"/>
      <c r="L22" s="81" t="str">
        <f>+D27</f>
        <v>SV Weiler</v>
      </c>
      <c r="M22" s="84"/>
      <c r="N22" s="83"/>
      <c r="O22" s="81" t="str">
        <f>+D29</f>
        <v>SV Diepoldshofen</v>
      </c>
      <c r="P22" s="84"/>
      <c r="Q22" s="83"/>
      <c r="R22" s="81" t="str">
        <f>+D31</f>
        <v>TV Berkenbaum</v>
      </c>
      <c r="S22" s="84"/>
      <c r="T22" s="85"/>
      <c r="U22" s="86" t="s">
        <v>20</v>
      </c>
      <c r="V22" s="87"/>
      <c r="W22" s="88" t="s">
        <v>21</v>
      </c>
      <c r="Z22" s="33"/>
      <c r="AA22" s="43"/>
    </row>
    <row r="23" spans="1:29" ht="15" customHeight="1">
      <c r="A23" s="33">
        <v>11</v>
      </c>
      <c r="C23" s="90" t="str">
        <f>IF(Daten!E6="","",Daten!E6)</f>
        <v>BR</v>
      </c>
      <c r="D23" s="91" t="str">
        <f>IF(Daten!F6="","",Daten!F6)</f>
        <v>TV Mahndorf</v>
      </c>
      <c r="E23" s="92"/>
      <c r="F23" s="93"/>
      <c r="G23" s="94"/>
      <c r="H23" s="95">
        <f>IF(ISERROR(VLOOKUP($A$3&amp;TEXT($A23,"00")&amp;TEXT(I$21,"00"),Samstag!$A$24:$Y$205,16,FALSE)),"",VLOOKUP($A$3&amp;TEXT($A23,"00")&amp;TEXT(I$21,"00"),Samstag!$A$24:$Y$205,16,FALSE))</f>
        <v>28</v>
      </c>
      <c r="I23" s="96" t="s">
        <v>22</v>
      </c>
      <c r="J23" s="97">
        <f>IF(ISERROR(VLOOKUP($A$3&amp;TEXT($A23,"00")&amp;TEXT(I$21,"00"),Samstag!$A$24:$Y$205,18,FALSE)),"",VLOOKUP($A$3&amp;TEXT($A23,"00")&amp;TEXT(I$21,"00"),Samstag!$A$24:$Y$205,18,FALSE))</f>
        <v>42</v>
      </c>
      <c r="K23" s="95">
        <f>IF(ISERROR(VLOOKUP($A$3&amp;TEXT($A23,"00")&amp;TEXT(L$21,"00"),Samstag!$A$24:$Y$205,16,FALSE)),"",VLOOKUP($A$3&amp;TEXT($A23,"00")&amp;TEXT(L$21,"00"),Samstag!$A$24:$Y$205,16,FALSE))</f>
        <v>31</v>
      </c>
      <c r="L23" s="96" t="s">
        <v>22</v>
      </c>
      <c r="M23" s="97">
        <f>IF(ISERROR(VLOOKUP($A$3&amp;TEXT($A23,"00")&amp;TEXT(L$21,"00"),Samstag!$A$24:$Y$205,18,FALSE)),"",VLOOKUP($A$3&amp;TEXT($A23,"00")&amp;TEXT(L$21,"00"),Samstag!$A$24:$Y$205,18,FALSE))</f>
        <v>37</v>
      </c>
      <c r="N23" s="95">
        <f>IF(ISERROR(VLOOKUP($A$3&amp;TEXT($A23,"00")&amp;TEXT(O$21,"00"),Samstag!$A$24:$Y$205,16,FALSE)),"",VLOOKUP($A$3&amp;TEXT($A23,"00")&amp;TEXT(O$21,"00"),Samstag!$A$24:$Y$205,16,FALSE))</f>
        <v>30</v>
      </c>
      <c r="O23" s="96" t="s">
        <v>22</v>
      </c>
      <c r="P23" s="97">
        <f>IF(ISERROR(VLOOKUP($A$3&amp;TEXT($A23,"00")&amp;TEXT(O$21,"00"),Samstag!$A$24:$Y$205,18,FALSE)),"",VLOOKUP($A$3&amp;TEXT($A23,"00")&amp;TEXT(O$21,"00"),Samstag!$A$24:$Y$205,18,FALSE))</f>
        <v>45</v>
      </c>
      <c r="Q23" s="95">
        <f>IF(ISERROR(VLOOKUP($A$3&amp;TEXT($A23,"00")&amp;TEXT(R$21,"00"),Samstag!$A$24:$Y$205,16,FALSE)),"",VLOOKUP($A$3&amp;TEXT($A23,"00")&amp;TEXT(R$21,"00"),Samstag!$A$24:$Y$205,16,FALSE))</f>
        <v>29</v>
      </c>
      <c r="R23" s="96" t="s">
        <v>22</v>
      </c>
      <c r="S23" s="97">
        <f>IF(ISERROR(VLOOKUP($A$3&amp;TEXT($A23,"00")&amp;TEXT(R$21,"00"),Samstag!$A$24:$Y$205,18,FALSE)),"",VLOOKUP($A$3&amp;TEXT($A23,"00")&amp;TEXT(R$21,"00"),Samstag!$A$24:$Y$205,18,FALSE))</f>
        <v>37</v>
      </c>
      <c r="T23" s="98">
        <f>IF(Y24="","",SUM(E23,H23,K23,N23,Q23))</f>
        <v>118</v>
      </c>
      <c r="U23" s="96" t="s">
        <v>22</v>
      </c>
      <c r="V23" s="99">
        <f>IF(Y24="","",SUM(G23,J23,M23,P23,S23))</f>
        <v>161</v>
      </c>
      <c r="W23" s="100">
        <f>IF(Y23="","",RANK(X24,($X$24,$X$26,$X$28,$X$30,$X$32),0))</f>
        <v>5</v>
      </c>
      <c r="Y23" s="101" t="s">
        <v>197</v>
      </c>
      <c r="Z23" s="102">
        <f>+T23-V23</f>
        <v>-43</v>
      </c>
      <c r="AA23" s="43"/>
      <c r="AB23" s="3">
        <v>1</v>
      </c>
      <c r="AC23" s="3" t="str">
        <f>IF(W23="","",IF($W$23=1,$D$23,IF($W$25=1,$D$25,IF($W$27=1,$D$27,IF($W$29=1,$D$29,IF($W$31=1,$D$31,0))))))</f>
        <v>MTV Wohnste</v>
      </c>
    </row>
    <row r="24" spans="3:27" ht="10.5" customHeight="1">
      <c r="C24" s="137"/>
      <c r="D24" s="138"/>
      <c r="E24" s="105"/>
      <c r="F24" s="106"/>
      <c r="G24" s="107"/>
      <c r="H24" s="108">
        <f>IF(H23=0,"",IF(H23&gt;J23,2,IF(H23&lt;J23,0,1)))</f>
        <v>0</v>
      </c>
      <c r="I24" s="52" t="s">
        <v>23</v>
      </c>
      <c r="J24" s="109">
        <f>IF(J23=0,"",IF(J23&gt;H23,2,IF(J23&lt;H23,0,1)))</f>
        <v>2</v>
      </c>
      <c r="K24" s="108">
        <f>IF(K23=0,"",IF(K23&gt;M23,2,IF(K23&lt;M23,0,1)))</f>
        <v>0</v>
      </c>
      <c r="L24" s="52" t="s">
        <v>23</v>
      </c>
      <c r="M24" s="109">
        <f>IF(M23=0,"",IF(M23&gt;K23,2,IF(M23&lt;K23,0,1)))</f>
        <v>2</v>
      </c>
      <c r="N24" s="108">
        <f>IF(N23=0,"",IF(N23&gt;P23,2,IF(N23&lt;P23,0,1)))</f>
        <v>0</v>
      </c>
      <c r="O24" s="52" t="s">
        <v>23</v>
      </c>
      <c r="P24" s="109">
        <f>IF(P23=0,"",IF(P23&gt;N23,2,IF(P23&lt;N23,0,1)))</f>
        <v>2</v>
      </c>
      <c r="Q24" s="108">
        <f>IF(Q23=0,"",IF(Q23&gt;S23,2,IF(Q23&lt;S23,0,1)))</f>
        <v>0</v>
      </c>
      <c r="R24" s="52" t="s">
        <v>23</v>
      </c>
      <c r="S24" s="109">
        <f>IF(S23=0,"",IF(S23&gt;Q23,2,IF(S23&lt;Q23,0,1)))</f>
        <v>2</v>
      </c>
      <c r="T24" s="108">
        <f>IF(Y24="","",SUM(E24,H24,K24,N24,Q24))</f>
        <v>0</v>
      </c>
      <c r="U24" s="52" t="s">
        <v>23</v>
      </c>
      <c r="V24" s="109">
        <f>IF(Y24="","",SUM(G24,J24,M24,P24,S24))</f>
        <v>8</v>
      </c>
      <c r="W24" s="110"/>
      <c r="X24" s="111">
        <f>+(T24-V24)+T23/V23+T24</f>
        <v>-7.267080745341615</v>
      </c>
      <c r="Y24" s="101" t="s">
        <v>197</v>
      </c>
      <c r="Z24" s="33"/>
      <c r="AA24" s="43"/>
    </row>
    <row r="25" spans="1:29" ht="15" customHeight="1">
      <c r="A25" s="33">
        <v>12</v>
      </c>
      <c r="C25" s="90" t="str">
        <f>IF(Daten!E7="","",Daten!E7)</f>
        <v>NI</v>
      </c>
      <c r="D25" s="91" t="str">
        <f>IF(Daten!F7="","",Daten!F7)</f>
        <v>MTV Wohnste</v>
      </c>
      <c r="E25" s="95">
        <f>IF(J23=0,"",J23)</f>
        <v>42</v>
      </c>
      <c r="F25" s="96" t="s">
        <v>22</v>
      </c>
      <c r="G25" s="97">
        <f>IF(H23=0,"",H23)</f>
        <v>28</v>
      </c>
      <c r="H25" s="92"/>
      <c r="I25" s="93"/>
      <c r="J25" s="94"/>
      <c r="K25" s="95">
        <f>IF(ISERROR(VLOOKUP($A$3&amp;TEXT($A25,"00")&amp;TEXT(L$21,"00"),Samstag!$A$24:$Y$205,16,FALSE)),"",VLOOKUP($A$3&amp;TEXT($A25,"00")&amp;TEXT(L$21,"00"),Samstag!$A$24:$Y$205,16,FALSE))</f>
        <v>36</v>
      </c>
      <c r="L25" s="96" t="s">
        <v>22</v>
      </c>
      <c r="M25" s="97">
        <f>IF(ISERROR(VLOOKUP($A$3&amp;TEXT($A25,"00")&amp;TEXT(L$21,"00"),Samstag!$A$24:$Y$205,18,FALSE)),"",VLOOKUP($A$3&amp;TEXT($A25,"00")&amp;TEXT(L$21,"00"),Samstag!$A$24:$Y$205,18,FALSE))</f>
        <v>30</v>
      </c>
      <c r="N25" s="95">
        <f>IF(ISERROR(VLOOKUP($A$3&amp;TEXT($A25,"00")&amp;TEXT(O$21,"00"),Samstag!$A$24:$Y$205,16,FALSE)),"",VLOOKUP($A$3&amp;TEXT($A25,"00")&amp;TEXT(O$21,"00"),Samstag!$A$24:$Y$205,16,FALSE))</f>
        <v>39</v>
      </c>
      <c r="O25" s="96" t="s">
        <v>22</v>
      </c>
      <c r="P25" s="97">
        <f>IF(ISERROR(VLOOKUP($A$3&amp;TEXT($A25,"00")&amp;TEXT(O$21,"00"),Samstag!$A$24:$Y$205,18,FALSE)),"",VLOOKUP($A$3&amp;TEXT($A25,"00")&amp;TEXT(O$21,"00"),Samstag!$A$24:$Y$205,18,FALSE))</f>
        <v>36</v>
      </c>
      <c r="Q25" s="95">
        <f>IF(ISERROR(VLOOKUP($A$3&amp;TEXT($A25,"00")&amp;TEXT(R$21,"00"),Samstag!$A$24:$Y$205,16,FALSE)),"",VLOOKUP($A$3&amp;TEXT($A25,"00")&amp;TEXT(R$21,"00"),Samstag!$A$24:$Y$205,16,FALSE))</f>
        <v>43</v>
      </c>
      <c r="R25" s="96" t="s">
        <v>22</v>
      </c>
      <c r="S25" s="97">
        <f>IF(ISERROR(VLOOKUP($A$3&amp;TEXT($A25,"00")&amp;TEXT(R$21,"00"),Samstag!$A$24:$Y$205,18,FALSE)),"",VLOOKUP($A$3&amp;TEXT($A25,"00")&amp;TEXT(R$21,"00"),Samstag!$A$24:$Y$205,18,FALSE))</f>
        <v>29</v>
      </c>
      <c r="T25" s="98">
        <f>IF(Y26="","",SUM(E25,H25,K25,N25,Q25))</f>
        <v>160</v>
      </c>
      <c r="U25" s="96" t="s">
        <v>22</v>
      </c>
      <c r="V25" s="99">
        <f>IF(Y26="","",SUM(G25,J25,M25,P25,S25))</f>
        <v>123</v>
      </c>
      <c r="W25" s="112">
        <f>IF(Y25="","",RANK(X26,($X$24,$X$26,$X$28,$X$30,$X$32),0))</f>
        <v>1</v>
      </c>
      <c r="Y25" s="101" t="s">
        <v>197</v>
      </c>
      <c r="Z25" s="102">
        <f>+T25-V25</f>
        <v>37</v>
      </c>
      <c r="AA25" s="43"/>
      <c r="AB25" s="3">
        <v>2</v>
      </c>
      <c r="AC25" s="3" t="str">
        <f>IF(W25="","",IF($W$23=2,$D$23,IF($W$25=2,$D$25,IF($W$27=2,$D$27,IF($W$29=2,$D$29,IF($W$31=2,$D$31,0))))))</f>
        <v>SV Diepoldshofen</v>
      </c>
    </row>
    <row r="26" spans="3:27" ht="10.5" customHeight="1">
      <c r="C26" s="137"/>
      <c r="D26" s="138"/>
      <c r="E26" s="108">
        <f>IF(E25="","",IF(E25&gt;G25,2,IF(E25&lt;G25,0,1)))</f>
        <v>2</v>
      </c>
      <c r="F26" s="52" t="s">
        <v>23</v>
      </c>
      <c r="G26" s="109">
        <f>IF(G25="","",IF(G25&gt;E25,2,IF(G25&lt;E25,0,1)))</f>
        <v>0</v>
      </c>
      <c r="H26" s="105"/>
      <c r="I26" s="106"/>
      <c r="J26" s="107"/>
      <c r="K26" s="108">
        <f>IF(K25=0,"",IF(K25&gt;M25,2,IF(K25&lt;M25,0,1)))</f>
        <v>2</v>
      </c>
      <c r="L26" s="52" t="s">
        <v>23</v>
      </c>
      <c r="M26" s="109">
        <f>IF(M25=0,"",IF(M25&gt;K25,2,IF(M25&lt;K25,0,1)))</f>
        <v>0</v>
      </c>
      <c r="N26" s="108">
        <f>IF(N25=0,"",IF(N25&gt;P25,2,IF(N25&lt;P25,0,1)))</f>
        <v>2</v>
      </c>
      <c r="O26" s="52" t="s">
        <v>23</v>
      </c>
      <c r="P26" s="109">
        <f>IF(P25=0,"",IF(P25&gt;N25,2,IF(P25&lt;N25,0,1)))</f>
        <v>0</v>
      </c>
      <c r="Q26" s="108">
        <f>IF(Q25=0,"",IF(Q25&gt;S25,2,IF(Q25&lt;S25,0,1)))</f>
        <v>2</v>
      </c>
      <c r="R26" s="52" t="s">
        <v>23</v>
      </c>
      <c r="S26" s="109">
        <f>IF(S25=0,"",IF(S25&gt;Q25,2,IF(S25&lt;Q25,0,1)))</f>
        <v>0</v>
      </c>
      <c r="T26" s="108">
        <f>IF(Y26="","",SUM(E26,H26,K26,N26,Q26))</f>
        <v>8</v>
      </c>
      <c r="U26" s="52" t="s">
        <v>23</v>
      </c>
      <c r="V26" s="109">
        <f>IF(Y26="","",SUM(G26,J26,M26,P26,S26))</f>
        <v>0</v>
      </c>
      <c r="W26" s="110"/>
      <c r="X26" s="111">
        <f>+(T26-V26)+T25/V25+T26</f>
        <v>17.30081300813008</v>
      </c>
      <c r="Y26" s="101" t="s">
        <v>197</v>
      </c>
      <c r="Z26" s="33"/>
      <c r="AA26" s="43"/>
    </row>
    <row r="27" spans="1:29" ht="15" customHeight="1">
      <c r="A27" s="33">
        <v>13</v>
      </c>
      <c r="C27" s="90" t="str">
        <f>IF(Daten!E8="","",Daten!E8)</f>
        <v>SW</v>
      </c>
      <c r="D27" s="91" t="str">
        <f>IF(Daten!F8="","",Daten!F8)</f>
        <v>SV Weiler</v>
      </c>
      <c r="E27" s="98">
        <f>IF(M23=0,"",M23)</f>
        <v>37</v>
      </c>
      <c r="F27" s="96" t="s">
        <v>22</v>
      </c>
      <c r="G27" s="99">
        <f>IF(K23=0,"",K23)</f>
        <v>31</v>
      </c>
      <c r="H27" s="95">
        <f>IF(M25=0,"",M25)</f>
        <v>30</v>
      </c>
      <c r="I27" s="96" t="s">
        <v>22</v>
      </c>
      <c r="J27" s="97">
        <f>IF(K25=0,"",K25)</f>
        <v>36</v>
      </c>
      <c r="K27" s="92"/>
      <c r="L27" s="93"/>
      <c r="M27" s="94"/>
      <c r="N27" s="95">
        <f>IF(ISERROR(VLOOKUP($A$3&amp;TEXT($A27,"00")&amp;TEXT(O$21,"00"),Samstag!$A$24:$Y$205,16,FALSE)),"",VLOOKUP($A$3&amp;TEXT($A27,"00")&amp;TEXT(O$21,"00"),Samstag!$A$24:$Y$205,16,FALSE))</f>
        <v>37</v>
      </c>
      <c r="O27" s="96" t="s">
        <v>22</v>
      </c>
      <c r="P27" s="97">
        <f>IF(ISERROR(VLOOKUP($A$3&amp;TEXT($A27,"00")&amp;TEXT(O$21,"00"),Samstag!$A$24:$Y$205,18,FALSE)),"",VLOOKUP($A$3&amp;TEXT($A27,"00")&amp;TEXT(O$21,"00"),Samstag!$A$24:$Y$205,18,FALSE))</f>
        <v>44</v>
      </c>
      <c r="Q27" s="95">
        <f>IF(ISERROR(VLOOKUP($A$3&amp;TEXT($A27,"00")&amp;TEXT(R$21,"00"),Samstag!$A$24:$Y$205,16,FALSE)),"",VLOOKUP($A$3&amp;TEXT($A27,"00")&amp;TEXT(R$21,"00"),Samstag!$A$24:$Y$205,16,FALSE))</f>
        <v>35</v>
      </c>
      <c r="R27" s="96" t="s">
        <v>22</v>
      </c>
      <c r="S27" s="97">
        <f>IF(ISERROR(VLOOKUP($A$3&amp;TEXT($A27,"00")&amp;TEXT(R$21,"00"),Samstag!$A$24:$Y$205,18,FALSE)),"",VLOOKUP($A$3&amp;TEXT($A27,"00")&amp;TEXT(R$21,"00"),Samstag!$A$24:$Y$205,18,FALSE))</f>
        <v>30</v>
      </c>
      <c r="T27" s="98">
        <f>IF(Y28="","",SUM(E27,H27,K27,N27,Q27))</f>
        <v>139</v>
      </c>
      <c r="U27" s="96" t="s">
        <v>22</v>
      </c>
      <c r="V27" s="99">
        <f>IF(Y28="","",SUM(G27,J27,M27,P27,S27))</f>
        <v>141</v>
      </c>
      <c r="W27" s="112">
        <f>IF(Y27="","",RANK(X28,($X$24,$X$26,$X$28,$X$30,$X$32),0))</f>
        <v>3</v>
      </c>
      <c r="Y27" s="101" t="s">
        <v>197</v>
      </c>
      <c r="Z27" s="102">
        <f>+T27-V27</f>
        <v>-2</v>
      </c>
      <c r="AA27" s="43"/>
      <c r="AB27" s="3">
        <v>3</v>
      </c>
      <c r="AC27" s="3" t="str">
        <f>IF(W27="","",IF($W$23=3,$D$23,IF($W$25=3,$D$25,IF($W$27=3,$D$27,IF($W$29=3,$D$29,IF($W$31=3,$D$31,0))))))</f>
        <v>SV Weiler</v>
      </c>
    </row>
    <row r="28" spans="3:27" ht="10.5" customHeight="1">
      <c r="C28" s="139"/>
      <c r="D28" s="140"/>
      <c r="E28" s="108">
        <f>IF(E27="","",IF(E27&gt;G27,2,IF(E27&lt;G27,0,1)))</f>
        <v>2</v>
      </c>
      <c r="F28" s="52" t="s">
        <v>23</v>
      </c>
      <c r="G28" s="109">
        <f>IF(G27="","",IF(G27&gt;E27,2,IF(G27&lt;E27,0,1)))</f>
        <v>0</v>
      </c>
      <c r="H28" s="108">
        <f>IF(H27="","",IF(H27&gt;J27,2,IF(H27&lt;J27,0,1)))</f>
        <v>0</v>
      </c>
      <c r="I28" s="52" t="s">
        <v>23</v>
      </c>
      <c r="J28" s="109">
        <f>IF(J27="","",IF(J27&gt;H27,2,IF(J27&lt;H27,0,1)))</f>
        <v>2</v>
      </c>
      <c r="K28" s="105"/>
      <c r="L28" s="106"/>
      <c r="M28" s="107"/>
      <c r="N28" s="108">
        <f>IF(N27=0,"",IF(N27&gt;P27,2,IF(N27&lt;P27,0,1)))</f>
        <v>0</v>
      </c>
      <c r="O28" s="52" t="s">
        <v>23</v>
      </c>
      <c r="P28" s="109">
        <f>IF(P27=0,"",IF(P27&gt;N27,2,IF(P27&lt;N27,0,1)))</f>
        <v>2</v>
      </c>
      <c r="Q28" s="108">
        <f>IF(Q27=0,"",IF(Q27&gt;S27,2,IF(Q27&lt;S27,0,1)))</f>
        <v>2</v>
      </c>
      <c r="R28" s="52" t="s">
        <v>23</v>
      </c>
      <c r="S28" s="109">
        <f>IF(S27=0,"",IF(S27&gt;Q27,2,IF(S27&lt;Q27,0,1)))</f>
        <v>0</v>
      </c>
      <c r="T28" s="108">
        <f>IF(Y28="","",SUM(E28,H28,K28,N28,Q28))</f>
        <v>4</v>
      </c>
      <c r="U28" s="52" t="s">
        <v>23</v>
      </c>
      <c r="V28" s="109">
        <f>IF(Y28="","",SUM(G28,J28,M28,P28,S28))</f>
        <v>4</v>
      </c>
      <c r="W28" s="110"/>
      <c r="X28" s="111">
        <f>+(T28-V28)+T27/V27+T28</f>
        <v>4.98581560283688</v>
      </c>
      <c r="Y28" s="101" t="s">
        <v>197</v>
      </c>
      <c r="Z28" s="33"/>
      <c r="AA28" s="43"/>
    </row>
    <row r="29" spans="1:29" ht="15" customHeight="1">
      <c r="A29" s="33">
        <v>14</v>
      </c>
      <c r="C29" s="90" t="str">
        <f>IF(Daten!E9="","",Daten!E9)</f>
        <v>SW</v>
      </c>
      <c r="D29" s="91" t="str">
        <f>IF(Daten!F9="","",Daten!F9)</f>
        <v>SV Diepoldshofen</v>
      </c>
      <c r="E29" s="98">
        <f>IF(P23=0,"",P23)</f>
        <v>45</v>
      </c>
      <c r="F29" s="96" t="s">
        <v>22</v>
      </c>
      <c r="G29" s="99">
        <f>IF(N23=0,"",N23)</f>
        <v>30</v>
      </c>
      <c r="H29" s="98">
        <f>IF(P25=0,"",P25)</f>
        <v>36</v>
      </c>
      <c r="I29" s="96" t="s">
        <v>22</v>
      </c>
      <c r="J29" s="99">
        <f>IF(N25=0,"",N25)</f>
        <v>39</v>
      </c>
      <c r="K29" s="95">
        <f>IF(P27=0,"",P27)</f>
        <v>44</v>
      </c>
      <c r="L29" s="96" t="s">
        <v>22</v>
      </c>
      <c r="M29" s="97">
        <f>IF(N27=0,"",N27)</f>
        <v>37</v>
      </c>
      <c r="N29" s="92"/>
      <c r="O29" s="93"/>
      <c r="P29" s="94"/>
      <c r="Q29" s="95">
        <f>IF(ISERROR(VLOOKUP($A$3&amp;TEXT($A29,"00")&amp;TEXT(R$21,"00"),Samstag!$A$24:$Y$205,16,FALSE)),"",VLOOKUP($A$3&amp;TEXT($A29,"00")&amp;TEXT(R$21,"00"),Samstag!$A$24:$Y$205,16,FALSE))</f>
        <v>42</v>
      </c>
      <c r="R29" s="96" t="s">
        <v>22</v>
      </c>
      <c r="S29" s="97">
        <f>IF(ISERROR(VLOOKUP($A$3&amp;TEXT($A29,"00")&amp;TEXT(R$21,"00"),Samstag!$A$24:$Y$205,18,FALSE)),"",VLOOKUP($A$3&amp;TEXT($A29,"00")&amp;TEXT(R$21,"00"),Samstag!$A$24:$Y$205,18,FALSE))</f>
        <v>28</v>
      </c>
      <c r="T29" s="98">
        <f>IF(Y30="","",SUM(E29,H29,K29,N29,Q29))</f>
        <v>167</v>
      </c>
      <c r="U29" s="96" t="s">
        <v>22</v>
      </c>
      <c r="V29" s="99">
        <f>IF(Y30="","",SUM(G29,J29,M29,P29,S29))</f>
        <v>134</v>
      </c>
      <c r="W29" s="112">
        <f>IF(Y29="","",RANK(X30,($X$24,$X$26,$X$28,$X$30,$X$32),0))</f>
        <v>2</v>
      </c>
      <c r="Y29" s="101" t="s">
        <v>197</v>
      </c>
      <c r="Z29" s="102">
        <f>+T29-V29</f>
        <v>33</v>
      </c>
      <c r="AA29" s="43"/>
      <c r="AB29" s="3">
        <v>4</v>
      </c>
      <c r="AC29" s="3" t="str">
        <f>IF(W29="","",IF($W$23=4,$D$23,IF($W$25=4,$D$25,IF($W$27=4,$D$27,IF($W$29=4,$D$29,IF($W$31=4,$D$31,0))))))</f>
        <v>TV Berkenbaum</v>
      </c>
    </row>
    <row r="30" spans="3:27" ht="10.5" customHeight="1">
      <c r="C30" s="137"/>
      <c r="D30" s="140"/>
      <c r="E30" s="108">
        <f>IF(E29="","",IF(E29&gt;G29,2,IF(E29&lt;G29,0,1)))</f>
        <v>2</v>
      </c>
      <c r="F30" s="52" t="s">
        <v>23</v>
      </c>
      <c r="G30" s="109">
        <f>IF(G29="","",IF(G29&gt;E29,2,IF(G29&lt;E29,0,1)))</f>
        <v>0</v>
      </c>
      <c r="H30" s="108">
        <f>IF(H29="","",IF(H29&gt;J29,2,IF(H29&lt;J29,0,1)))</f>
        <v>0</v>
      </c>
      <c r="I30" s="52" t="s">
        <v>23</v>
      </c>
      <c r="J30" s="109">
        <f>IF(J29="","",IF(J29&gt;H29,2,IF(J29&lt;H29,0,1)))</f>
        <v>2</v>
      </c>
      <c r="K30" s="108">
        <f>IF(K29="","",IF(K29&gt;M29,2,IF(K29&lt;M29,0,1)))</f>
        <v>2</v>
      </c>
      <c r="L30" s="52" t="s">
        <v>23</v>
      </c>
      <c r="M30" s="109">
        <f>IF(M29="","",IF(M29&gt;K29,2,IF(M29&lt;K29,0,1)))</f>
        <v>0</v>
      </c>
      <c r="N30" s="105"/>
      <c r="O30" s="106"/>
      <c r="P30" s="107"/>
      <c r="Q30" s="108">
        <f>IF(Q29=0,"",IF(Q29&gt;S29,2,IF(Q29&lt;S29,0,1)))</f>
        <v>2</v>
      </c>
      <c r="R30" s="52" t="s">
        <v>23</v>
      </c>
      <c r="S30" s="109">
        <f>IF(S29=0,"",IF(S29&gt;Q29,2,IF(S29&lt;Q29,0,1)))</f>
        <v>0</v>
      </c>
      <c r="T30" s="108">
        <f>IF(Y30="","",SUM(E30,H30,K30,N30,Q30))</f>
        <v>6</v>
      </c>
      <c r="U30" s="52" t="s">
        <v>23</v>
      </c>
      <c r="V30" s="109">
        <f>IF(Y30="","",SUM(G30,J30,M30,P30,S30))</f>
        <v>2</v>
      </c>
      <c r="W30" s="110"/>
      <c r="X30" s="111">
        <f>+(T30-V30)+T29/V29+T30</f>
        <v>11.246268656716417</v>
      </c>
      <c r="Y30" s="101" t="s">
        <v>197</v>
      </c>
      <c r="Z30" s="33"/>
      <c r="AA30" s="43"/>
    </row>
    <row r="31" spans="1:29" ht="15" customHeight="1">
      <c r="A31" s="33">
        <v>15</v>
      </c>
      <c r="C31" s="90" t="str">
        <f>IF(Daten!E10="","",Daten!E10)</f>
        <v>WE</v>
      </c>
      <c r="D31" s="91" t="str">
        <f>IF(Daten!F10="","",Daten!F10)</f>
        <v>TV Berkenbaum</v>
      </c>
      <c r="E31" s="98">
        <f>IF(S23=0,"",S23)</f>
        <v>37</v>
      </c>
      <c r="F31" s="96" t="s">
        <v>22</v>
      </c>
      <c r="G31" s="99">
        <f>IF(Q23=0,"",Q23)</f>
        <v>29</v>
      </c>
      <c r="H31" s="98">
        <f>IF(S25=0,"",S25)</f>
        <v>29</v>
      </c>
      <c r="I31" s="96" t="s">
        <v>22</v>
      </c>
      <c r="J31" s="99">
        <f>IF(Q25=0,"",Q25)</f>
        <v>43</v>
      </c>
      <c r="K31" s="98">
        <f>IF(S27=0,"",S27)</f>
        <v>30</v>
      </c>
      <c r="L31" s="96" t="s">
        <v>22</v>
      </c>
      <c r="M31" s="99">
        <f>IF(Q27=0,"",Q27)</f>
        <v>35</v>
      </c>
      <c r="N31" s="95">
        <f>IF(S29=0,"",S29)</f>
        <v>28</v>
      </c>
      <c r="O31" s="96" t="s">
        <v>22</v>
      </c>
      <c r="P31" s="97">
        <f>IF(Q29=0,"",Q29)</f>
        <v>42</v>
      </c>
      <c r="Q31" s="92"/>
      <c r="R31" s="93"/>
      <c r="S31" s="94"/>
      <c r="T31" s="98">
        <f>IF(Y32="","",SUM(E31,H31,K31,N31,Q31))</f>
        <v>124</v>
      </c>
      <c r="U31" s="96" t="s">
        <v>22</v>
      </c>
      <c r="V31" s="99">
        <f>IF(Y32="","",SUM(G31,J31,M31,P31,S31))</f>
        <v>149</v>
      </c>
      <c r="W31" s="112">
        <f>IF(Y31="","",RANK(X32,($X$24,$X$26,$X$28,$X$30,$X$32),0))</f>
        <v>4</v>
      </c>
      <c r="Y31" s="101" t="s">
        <v>197</v>
      </c>
      <c r="Z31" s="102">
        <f>+T31-V31</f>
        <v>-25</v>
      </c>
      <c r="AA31" s="43"/>
      <c r="AB31" s="3">
        <v>5</v>
      </c>
      <c r="AC31" s="3" t="str">
        <f>IF(W31="","",IF($W$23=5,$D$23,IF($W$25=5,$D$25,IF($W$27=5,$D$27,IF($W$29=5,$D$29,IF($W$31=5,$D$31,0))))))</f>
        <v>TV Mahndorf</v>
      </c>
    </row>
    <row r="32" spans="3:26" ht="10.5" customHeight="1">
      <c r="C32" s="139"/>
      <c r="D32" s="140"/>
      <c r="E32" s="108">
        <f>IF(E31="","",IF(E31&gt;G31,2,IF(E31&lt;G31,0,1)))</f>
        <v>2</v>
      </c>
      <c r="F32" s="52" t="s">
        <v>23</v>
      </c>
      <c r="G32" s="109">
        <f>IF(G31="","",IF(G31&gt;E31,2,IF(G31&lt;E31,0,1)))</f>
        <v>0</v>
      </c>
      <c r="H32" s="108">
        <f>IF(H31="","",IF(H31&gt;J31,2,IF(H31&lt;J31,0,1)))</f>
        <v>0</v>
      </c>
      <c r="I32" s="52" t="s">
        <v>23</v>
      </c>
      <c r="J32" s="109">
        <f>IF(J31="","",IF(J31&gt;H31,2,IF(J31&lt;H31,0,1)))</f>
        <v>2</v>
      </c>
      <c r="K32" s="108">
        <f>IF(K31="","",IF(K31&gt;M31,2,IF(K31&lt;M31,0,1)))</f>
        <v>0</v>
      </c>
      <c r="L32" s="52" t="s">
        <v>23</v>
      </c>
      <c r="M32" s="109">
        <f>IF(M31="","",IF(M31&gt;K31,2,IF(M31&lt;K31,0,1)))</f>
        <v>2</v>
      </c>
      <c r="N32" s="108">
        <f>IF(N31="","",IF(N31&gt;P31,2,IF(N31&lt;P31,0,1)))</f>
        <v>0</v>
      </c>
      <c r="O32" s="52" t="s">
        <v>23</v>
      </c>
      <c r="P32" s="109">
        <f>IF(P31="","",IF(P31&gt;N31,2,IF(P31&lt;N31,0,1)))</f>
        <v>2</v>
      </c>
      <c r="Q32" s="105"/>
      <c r="R32" s="106"/>
      <c r="S32" s="107"/>
      <c r="T32" s="108">
        <f>IF(Y32="","",SUM(E32,H32,K32,N32,Q32))</f>
        <v>2</v>
      </c>
      <c r="U32" s="52" t="s">
        <v>23</v>
      </c>
      <c r="V32" s="109">
        <f>IF(Y32="","",SUM(G32,J32,M32,P32,S32))</f>
        <v>6</v>
      </c>
      <c r="W32" s="110"/>
      <c r="X32" s="111">
        <f>+(T32-V32)+T31/V31+T32</f>
        <v>-1.1677852348993287</v>
      </c>
      <c r="Y32" s="101" t="s">
        <v>197</v>
      </c>
      <c r="Z32" s="33"/>
    </row>
    <row r="33" spans="3:25" ht="9.75" customHeight="1">
      <c r="C33" s="115"/>
      <c r="D33" s="115"/>
      <c r="E33" s="116"/>
      <c r="F33" s="96"/>
      <c r="G33" s="117"/>
      <c r="H33" s="116"/>
      <c r="I33" s="96"/>
      <c r="J33" s="117"/>
      <c r="K33" s="116"/>
      <c r="L33" s="96"/>
      <c r="M33" s="117"/>
      <c r="N33" s="116"/>
      <c r="O33" s="96"/>
      <c r="P33" s="117"/>
      <c r="Q33" s="118"/>
      <c r="R33" s="118"/>
      <c r="S33" s="118"/>
      <c r="T33" s="116"/>
      <c r="U33" s="96"/>
      <c r="V33" s="117"/>
      <c r="W33" s="119"/>
      <c r="X33" s="111"/>
      <c r="Y33" s="101"/>
    </row>
    <row r="34" spans="3:25" ht="9.75" customHeight="1" hidden="1" outlineLevel="1">
      <c r="C34" s="120" t="s">
        <v>24</v>
      </c>
      <c r="D34" s="121" t="str">
        <f>+D23</f>
        <v>TV Mahndorf</v>
      </c>
      <c r="E34" s="122"/>
      <c r="F34" s="123"/>
      <c r="G34" s="124"/>
      <c r="H34" s="125"/>
      <c r="I34" s="126" t="s">
        <v>22</v>
      </c>
      <c r="J34" s="127"/>
      <c r="K34" s="125"/>
      <c r="L34" s="126" t="s">
        <v>22</v>
      </c>
      <c r="M34" s="127"/>
      <c r="N34" s="125"/>
      <c r="O34" s="126" t="s">
        <v>22</v>
      </c>
      <c r="P34" s="127"/>
      <c r="Q34" s="128"/>
      <c r="R34" s="126" t="s">
        <v>22</v>
      </c>
      <c r="S34" s="129"/>
      <c r="T34" s="56"/>
      <c r="U34" s="130"/>
      <c r="V34" s="131"/>
      <c r="W34" s="132"/>
      <c r="X34" s="111"/>
      <c r="Y34" s="101"/>
    </row>
    <row r="35" spans="3:25" ht="9.75" customHeight="1" hidden="1" outlineLevel="1">
      <c r="C35" s="133"/>
      <c r="D35" s="121" t="str">
        <f>+D25</f>
        <v>MTV Wohnste</v>
      </c>
      <c r="E35" s="125">
        <f>IF(J34="","",J34)</f>
      </c>
      <c r="F35" s="126" t="s">
        <v>22</v>
      </c>
      <c r="G35" s="127">
        <f>IF(H34="","",H34)</f>
      </c>
      <c r="H35" s="122"/>
      <c r="I35" s="123"/>
      <c r="J35" s="124"/>
      <c r="K35" s="125"/>
      <c r="L35" s="126" t="s">
        <v>22</v>
      </c>
      <c r="M35" s="127"/>
      <c r="N35" s="125"/>
      <c r="O35" s="126" t="s">
        <v>22</v>
      </c>
      <c r="P35" s="127"/>
      <c r="Q35" s="128"/>
      <c r="R35" s="126" t="s">
        <v>22</v>
      </c>
      <c r="S35" s="129"/>
      <c r="T35" s="56"/>
      <c r="U35" s="130"/>
      <c r="V35" s="131"/>
      <c r="W35" s="132"/>
      <c r="X35" s="111"/>
      <c r="Y35" s="101"/>
    </row>
    <row r="36" spans="3:25" ht="9.75" customHeight="1" hidden="1" outlineLevel="1">
      <c r="C36" s="133"/>
      <c r="D36" s="121" t="str">
        <f>+D27</f>
        <v>SV Weiler</v>
      </c>
      <c r="E36" s="125">
        <f>IF(M34="","",M34)</f>
      </c>
      <c r="F36" s="126" t="s">
        <v>22</v>
      </c>
      <c r="G36" s="127">
        <f>IF(K34="","",K34)</f>
      </c>
      <c r="H36" s="125">
        <f>IF(M35="","",M35)</f>
      </c>
      <c r="I36" s="126" t="s">
        <v>22</v>
      </c>
      <c r="J36" s="127">
        <f>IF(K35="","",K35)</f>
      </c>
      <c r="K36" s="122"/>
      <c r="L36" s="123"/>
      <c r="M36" s="124"/>
      <c r="N36" s="125"/>
      <c r="O36" s="126" t="s">
        <v>22</v>
      </c>
      <c r="P36" s="127"/>
      <c r="Q36" s="128"/>
      <c r="R36" s="126" t="s">
        <v>22</v>
      </c>
      <c r="S36" s="129"/>
      <c r="T36" s="56"/>
      <c r="U36" s="130"/>
      <c r="V36" s="131"/>
      <c r="W36" s="132"/>
      <c r="X36" s="111"/>
      <c r="Y36" s="101"/>
    </row>
    <row r="37" spans="3:25" ht="9.75" customHeight="1" hidden="1" outlineLevel="1">
      <c r="C37" s="133"/>
      <c r="D37" s="121" t="str">
        <f>+D29</f>
        <v>SV Diepoldshofen</v>
      </c>
      <c r="E37" s="125">
        <f>IF(P34="","",P34)</f>
      </c>
      <c r="F37" s="126" t="s">
        <v>22</v>
      </c>
      <c r="G37" s="127">
        <f>IF(N34="","",N34)</f>
      </c>
      <c r="H37" s="125">
        <f>IF(P35="","",P35)</f>
      </c>
      <c r="I37" s="126" t="s">
        <v>22</v>
      </c>
      <c r="J37" s="127">
        <f>IF(N35="","",N35)</f>
      </c>
      <c r="K37" s="125">
        <f>IF(P36="","",P36)</f>
      </c>
      <c r="L37" s="126" t="s">
        <v>22</v>
      </c>
      <c r="M37" s="127">
        <f>IF(N36="","",N36)</f>
      </c>
      <c r="N37" s="122"/>
      <c r="O37" s="123"/>
      <c r="P37" s="124"/>
      <c r="Q37" s="128"/>
      <c r="R37" s="126" t="s">
        <v>22</v>
      </c>
      <c r="S37" s="129"/>
      <c r="T37" s="56"/>
      <c r="U37" s="130"/>
      <c r="V37" s="131"/>
      <c r="W37" s="132"/>
      <c r="X37" s="111"/>
      <c r="Y37" s="101"/>
    </row>
    <row r="38" spans="4:19" ht="9.75" customHeight="1" hidden="1" outlineLevel="1">
      <c r="D38" s="121" t="str">
        <f>+D31</f>
        <v>TV Berkenbaum</v>
      </c>
      <c r="E38" s="125">
        <f>IF(S34="","",S34)</f>
      </c>
      <c r="F38" s="126" t="s">
        <v>22</v>
      </c>
      <c r="G38" s="127">
        <f>IF(Q34="","",Q34)</f>
      </c>
      <c r="H38" s="125">
        <f>IF(S35="","",S35)</f>
      </c>
      <c r="I38" s="126" t="s">
        <v>22</v>
      </c>
      <c r="J38" s="127">
        <f>IF(Q35="","",Q35)</f>
      </c>
      <c r="K38" s="125">
        <f>IF(S36="","",S36)</f>
      </c>
      <c r="L38" s="126" t="s">
        <v>22</v>
      </c>
      <c r="M38" s="127">
        <f>IF(Q36="","",Q36)</f>
      </c>
      <c r="N38" s="125">
        <f>IF(S37="","",S37)</f>
      </c>
      <c r="O38" s="126" t="s">
        <v>22</v>
      </c>
      <c r="P38" s="127">
        <f>IF(Q37="","",Q37)</f>
      </c>
      <c r="Q38" s="122"/>
      <c r="R38" s="123"/>
      <c r="S38" s="124"/>
    </row>
    <row r="39" ht="18" customHeight="1" collapsed="1">
      <c r="C39" s="3" t="s">
        <v>157</v>
      </c>
    </row>
    <row r="40" spans="1:16" ht="17.25" customHeight="1">
      <c r="A40" s="33" t="s">
        <v>198</v>
      </c>
      <c r="B40" s="3" t="s">
        <v>25</v>
      </c>
      <c r="C40" s="141" t="str">
        <f>"4."&amp;+$D$4&amp;"  5."&amp;+$D$22</f>
        <v>4.Gruppe A  5.Gruppe B</v>
      </c>
      <c r="D40" s="142" t="str">
        <f>IF($Y$31="","",(IF(ISERROR(VLOOKUP($A$3&amp;TEXT($A40,"00"),Sonntag!$A$24:$X$205,8,FALSE)),"",VLOOKUP($A$3&amp;TEXT($A40,"00"),Sonntag!$A$24:$X$205,8,FALSE)))&amp;" : "&amp;IF($Y$31="","",IF(ISERROR(VLOOKUP($A$3&amp;TEXT($A40,"00"),Sonntag!$A$24:$X$205,11,FALSE)),"",VLOOKUP($A$3&amp;TEXT($A40,"00"),Sonntag!$A$24:$X$205,11,FALSE))))</f>
        <v>MTV Eiche Schönebeck : TV Mahndorf</v>
      </c>
      <c r="E40" s="143"/>
      <c r="F40" s="143"/>
      <c r="G40" s="143"/>
      <c r="H40" s="143"/>
      <c r="I40" s="144"/>
      <c r="J40" s="136"/>
      <c r="K40" s="145">
        <f>IF(ISERROR(VLOOKUP($A$3&amp;TEXT($A40,"00"),Sonntag!$A$24:$X$205,16,FALSE)),"",VLOOKUP($A$3&amp;TEXT($A40,"00"),Sonntag!$A$24:$X$205,16,FALSE))</f>
        <v>43</v>
      </c>
      <c r="L40" s="146" t="s">
        <v>22</v>
      </c>
      <c r="M40" s="147">
        <f>IF(ISERROR(VLOOKUP($A$3&amp;TEXT($A40,"00"),Sonntag!$A$24:$X$205,18,FALSE)),"",VLOOKUP($A$3&amp;TEXT($A40,"00"),Sonntag!$A$24:$X$205,18,FALSE))</f>
        <v>29</v>
      </c>
      <c r="N40" s="148"/>
      <c r="O40" s="149"/>
      <c r="P40" s="71"/>
    </row>
    <row r="41" spans="2:14" ht="4.5" customHeight="1">
      <c r="B41" s="132"/>
      <c r="C41" s="57"/>
      <c r="D41" s="132"/>
      <c r="E41" s="150"/>
      <c r="F41" s="151"/>
      <c r="G41" s="150"/>
      <c r="H41" s="150"/>
      <c r="I41" s="150"/>
      <c r="J41" s="150"/>
      <c r="K41" s="152"/>
      <c r="M41" s="153"/>
      <c r="N41" s="33"/>
    </row>
    <row r="42" spans="1:15" ht="17.25" customHeight="1">
      <c r="A42" s="33" t="s">
        <v>199</v>
      </c>
      <c r="B42" s="3" t="s">
        <v>26</v>
      </c>
      <c r="C42" s="141" t="str">
        <f>"4."&amp;+$D$22&amp;"  5."&amp;+$D$4</f>
        <v>4.Gruppe B  5.Gruppe A</v>
      </c>
      <c r="D42" s="142" t="str">
        <f>IF($Y$31="","",(IF(ISERROR(VLOOKUP($A$3&amp;TEXT($A42,"00"),Sonntag!$A$24:$X$205,8,FALSE)),"",VLOOKUP($A$3&amp;TEXT($A42,"00"),Sonntag!$A$24:$X$205,8,FALSE)))&amp;" : "&amp;IF($Y$31="","",IF(ISERROR(VLOOKUP($A$3&amp;TEXT($A42,"00"),Sonntag!$A$24:$X$205,11,FALSE)),"",VLOOKUP($A$3&amp;TEXT($A42,"00"),Sonntag!$A$24:$X$205,11,FALSE))))</f>
        <v>TV Berkenbaum : TuS Meinerzhagen</v>
      </c>
      <c r="E42" s="154"/>
      <c r="F42" s="154"/>
      <c r="G42" s="154"/>
      <c r="H42" s="154"/>
      <c r="I42" s="154"/>
      <c r="J42" s="87"/>
      <c r="K42" s="145">
        <f>IF(ISERROR(VLOOKUP($A$3&amp;TEXT($A42,"00"),Sonntag!$A$24:$X$205,16,FALSE)),"",VLOOKUP($A$3&amp;TEXT($A42,"00"),Sonntag!$A$24:$X$205,16,FALSE))</f>
        <v>40</v>
      </c>
      <c r="L42" s="146" t="s">
        <v>22</v>
      </c>
      <c r="M42" s="147">
        <f>IF(ISERROR(VLOOKUP($A$3&amp;TEXT($A42,"00"),Sonntag!$A$24:$X$205,18,FALSE)),"",VLOOKUP($A$3&amp;TEXT($A42,"00"),Sonntag!$A$24:$X$205,18,FALSE))</f>
        <v>22</v>
      </c>
      <c r="N42" s="148"/>
      <c r="O42" s="149"/>
    </row>
    <row r="43" spans="3:23" ht="18" customHeight="1">
      <c r="C43" s="150" t="s">
        <v>158</v>
      </c>
      <c r="D43" s="150"/>
      <c r="E43" s="150"/>
      <c r="F43" s="151"/>
      <c r="G43" s="150"/>
      <c r="H43" s="150"/>
      <c r="I43" s="150"/>
      <c r="J43" s="150"/>
      <c r="K43" s="152"/>
      <c r="M43" s="153"/>
      <c r="N43" s="33"/>
      <c r="Q43" s="132"/>
      <c r="R43" s="132"/>
      <c r="S43" s="132"/>
      <c r="T43" s="132"/>
      <c r="U43" s="132"/>
      <c r="V43" s="132"/>
      <c r="W43" s="132"/>
    </row>
    <row r="44" spans="1:23" ht="17.25" customHeight="1">
      <c r="A44" s="33" t="s">
        <v>201</v>
      </c>
      <c r="C44" s="141" t="str">
        <f>"V."&amp;B40&amp;"/"&amp;B42&amp;"      9./10. Pl."</f>
        <v>V.a/b      9./10. Pl.</v>
      </c>
      <c r="D44" s="142" t="str">
        <f>IF($K$40=0,"",(IF(ISERROR(VLOOKUP($A$3&amp;TEXT($A44,"00"),Sonntag!$A$24:$X$205,8,FALSE)),"",VLOOKUP($A$3&amp;TEXT($A44,"00"),Sonntag!$A$24:$X$205,8,FALSE)))&amp;" : "&amp;IF(ISERROR(VLOOKUP($A$3&amp;TEXT($A44,"00"),Sonntag!$A$24:$X$205,11,FALSE)),"",VLOOKUP($A$3&amp;TEXT($A44,"00"),Sonntag!$A$24:$X$205,11,FALSE)))</f>
        <v>TV Mahndorf : TuS Meinerzhagen</v>
      </c>
      <c r="E44" s="154"/>
      <c r="F44" s="154"/>
      <c r="G44" s="154"/>
      <c r="H44" s="154"/>
      <c r="I44" s="154"/>
      <c r="J44" s="87"/>
      <c r="K44" s="145">
        <f>IF(ISERROR(VLOOKUP($A$3&amp;TEXT($A44,"00"),Sonntag!$A$24:$X$205,16,FALSE)),"",VLOOKUP($A$3&amp;TEXT($A44,"00"),Sonntag!$A$24:$X$205,16,FALSE))</f>
        <v>30</v>
      </c>
      <c r="L44" s="146" t="s">
        <v>22</v>
      </c>
      <c r="M44" s="147">
        <f>IF(ISERROR(VLOOKUP($A$3&amp;TEXT($A44,"00"),Sonntag!$A$24:$X$205,18,FALSE)),"",VLOOKUP($A$3&amp;TEXT($A44,"00"),Sonntag!$A$24:$X$205,18,FALSE))</f>
        <v>35</v>
      </c>
      <c r="N44" s="33"/>
      <c r="P44" s="38" t="s">
        <v>27</v>
      </c>
      <c r="Q44" s="155"/>
      <c r="R44" s="155"/>
      <c r="S44" s="155"/>
      <c r="T44" s="155"/>
      <c r="U44" s="155"/>
      <c r="V44" s="155"/>
      <c r="W44" s="155"/>
    </row>
    <row r="45" spans="3:23" ht="4.5" customHeight="1">
      <c r="C45" s="156"/>
      <c r="D45" s="150"/>
      <c r="E45" s="150"/>
      <c r="F45" s="150"/>
      <c r="G45" s="150"/>
      <c r="H45" s="150"/>
      <c r="I45" s="151"/>
      <c r="J45" s="150"/>
      <c r="K45" s="152"/>
      <c r="M45" s="153"/>
      <c r="N45" s="33"/>
      <c r="Q45" s="132"/>
      <c r="R45" s="132"/>
      <c r="S45" s="132"/>
      <c r="T45" s="132"/>
      <c r="U45" s="132"/>
      <c r="V45" s="132"/>
      <c r="W45" s="132"/>
    </row>
    <row r="46" spans="1:23" ht="17.25" customHeight="1">
      <c r="A46" s="33" t="s">
        <v>200</v>
      </c>
      <c r="C46" s="141" t="str">
        <f>"S."&amp;B40&amp;"/"&amp;B42&amp;"        7./8. Pl."</f>
        <v>S.a/b        7./8. Pl.</v>
      </c>
      <c r="D46" s="142" t="str">
        <f>IF($K$40=0,"",(IF(ISERROR(VLOOKUP($A$3&amp;TEXT($A46,"00"),Sonntag!$A$24:$X$205,8,FALSE)),"",VLOOKUP($A$3&amp;TEXT($A46,"00"),Sonntag!$A$24:$X$205,8,FALSE)))&amp;" : "&amp;IF($M$40="","",IF(ISERROR(VLOOKUP($A$3&amp;TEXT($A46,"00"),Sonntag!$A$24:$X$205,11,FALSE)),"",VLOOKUP($A$3&amp;TEXT($A46,"00"),Sonntag!$A$24:$X$205,11,FALSE))))</f>
        <v>MTV Eiche Schönebeck : TV Berkenbaum</v>
      </c>
      <c r="E46" s="143"/>
      <c r="F46" s="144"/>
      <c r="G46" s="143"/>
      <c r="H46" s="143"/>
      <c r="I46" s="143"/>
      <c r="J46" s="136"/>
      <c r="K46" s="145">
        <f>IF(ISERROR(VLOOKUP($A$3&amp;TEXT($A46,"00"),Sonntag!$A$24:$X$205,16,FALSE)),"",VLOOKUP($A$3&amp;TEXT($A46,"00"),Sonntag!$A$24:$X$205,16,FALSE))</f>
        <v>50</v>
      </c>
      <c r="L46" s="146" t="s">
        <v>22</v>
      </c>
      <c r="M46" s="147">
        <f>IF(ISERROR(VLOOKUP($A$3&amp;TEXT($A46,"00"),Sonntag!$A$24:$X$205,18,FALSE)),"",VLOOKUP($A$3&amp;TEXT($A46,"00"),Sonntag!$A$24:$X$205,18,FALSE))</f>
        <v>48</v>
      </c>
      <c r="N46" s="33"/>
      <c r="P46" s="157">
        <v>1</v>
      </c>
      <c r="Q46" s="158" t="str">
        <f>IF(K60=0,""," "&amp;IF(M60&lt;K60,IF(ISERROR(VLOOKUP($A$3&amp;TEXT($A60,"00"),Sonntag!$A$24:$X$205,8,FALSE)),"",VLOOKUP($A$3&amp;TEXT($A60,"00"),Sonntag!$A$24:$X$205,8,FALSE)),IF(M60&gt;K60,IF(ISERROR(VLOOKUP($A$3&amp;TEXT($A60,"00"),Sonntag!$A$24:$X$205,11,FALSE)),"",VLOOKUP($A$3&amp;TEXT($A60,"00"),Sonntag!$A$24:$X$205,11,FALSE)))))</f>
        <v> TV Winterhagen</v>
      </c>
      <c r="R46" s="159"/>
      <c r="S46" s="159"/>
      <c r="T46" s="159"/>
      <c r="U46" s="159"/>
      <c r="V46" s="159"/>
      <c r="W46" s="160"/>
    </row>
    <row r="47" spans="3:23" ht="18" customHeight="1">
      <c r="C47" s="150" t="s">
        <v>28</v>
      </c>
      <c r="D47" s="150"/>
      <c r="E47" s="150"/>
      <c r="F47" s="150"/>
      <c r="G47" s="150"/>
      <c r="H47" s="150"/>
      <c r="I47" s="151"/>
      <c r="J47" s="150"/>
      <c r="K47" s="152"/>
      <c r="M47" s="153"/>
      <c r="N47" s="33"/>
      <c r="P47" s="161">
        <v>2</v>
      </c>
      <c r="Q47" s="158" t="str">
        <f>IF(K60=0,""," "&amp;IF(M60&lt;K60,IF(ISERROR(VLOOKUP($A$3&amp;TEXT($A60,"00"),Sonntag!$A$24:$X$205,11,FALSE)),"",VLOOKUP($A$3&amp;TEXT($A60,"00"),Sonntag!$A$24:$X$205,11,FALSE)),IF(M60&gt;K60,IF(ISERROR(VLOOKUP($A$3&amp;TEXT($A60,"00"),Sonntag!$A$24:$X$205,8,FALSE)),"",VLOOKUP($A$3&amp;TEXT($A60,"00"),Sonntag!$A$24:$X$205,8,FALSE)))))</f>
        <v> TV Sottrum</v>
      </c>
      <c r="R47" s="71"/>
      <c r="S47" s="71"/>
      <c r="T47" s="71"/>
      <c r="U47" s="71"/>
      <c r="V47" s="71"/>
      <c r="W47" s="162"/>
    </row>
    <row r="48" spans="1:23" ht="17.25" customHeight="1">
      <c r="A48" s="33" t="s">
        <v>202</v>
      </c>
      <c r="B48" s="3" t="s">
        <v>29</v>
      </c>
      <c r="C48" s="141" t="str">
        <f>"2."&amp;+$D$4&amp;"  3."&amp;+$D$22</f>
        <v>2.Gruppe A  3.Gruppe B</v>
      </c>
      <c r="D48" s="142" t="str">
        <f>IF($Y$31="","",(IF(ISERROR(VLOOKUP($A$3&amp;TEXT($A48,"00"),Sonntag!$A$24:$X$205,8,FALSE)),"",VLOOKUP($A$3&amp;TEXT($A48,"00"),Sonntag!$A$24:$X$205,8,FALSE)))&amp;" : "&amp;IF($Y$31="","",IF(ISERROR(VLOOKUP($A$3&amp;TEXT($A48,"00"),Sonntag!$A$24:$X$205,11,FALSE)),"",VLOOKUP($A$3&amp;TEXT($A48,"00"),Sonntag!$A$24:$X$205,11,FALSE))))</f>
        <v>TV Sottrum : SV Weiler</v>
      </c>
      <c r="E48" s="143"/>
      <c r="F48" s="144"/>
      <c r="G48" s="143"/>
      <c r="H48" s="143"/>
      <c r="I48" s="143"/>
      <c r="J48" s="136"/>
      <c r="K48" s="145">
        <f>IF(ISERROR(VLOOKUP($A$3&amp;TEXT($A48,"00"),Sonntag!$A$24:$X$205,16,FALSE)),"",VLOOKUP($A$3&amp;TEXT($A48,"00"),Sonntag!$A$24:$X$205,16,FALSE))</f>
        <v>39</v>
      </c>
      <c r="L48" s="146" t="s">
        <v>22</v>
      </c>
      <c r="M48" s="147">
        <f>IF(ISERROR(VLOOKUP($A$3&amp;TEXT($A48,"00"),Sonntag!$A$24:$X$205,18,FALSE)),"",VLOOKUP($A$3&amp;TEXT($A48,"00"),Sonntag!$A$24:$X$205,18,FALSE))</f>
        <v>33</v>
      </c>
      <c r="N48" s="33"/>
      <c r="P48" s="161">
        <v>3</v>
      </c>
      <c r="Q48" s="163" t="str">
        <f>IF(K58=0,""," "&amp;IF(M$58&gt;K$58,IF(ISERROR(VLOOKUP($A$3&amp;TEXT($A58,"00"),Sonntag!$A$24:$X$205,11,FALSE)),"",VLOOKUP($A$3&amp;TEXT($A58,"00"),Sonntag!$A$24:$X$205,11,FALSE)),IF(M$58&lt;K$58,IF(ISERROR(VLOOKUP($A$3&amp;TEXT($A58,"00"),Sonntag!$A$24:$X$205,8,FALSE)),"",VLOOKUP($A$3&amp;TEXT($A58,"00"),Sonntag!$A$24:$X$205,8,FALSE)))))</f>
        <v> SV Diepoldshofen</v>
      </c>
      <c r="R48" s="71"/>
      <c r="S48" s="71"/>
      <c r="T48" s="71"/>
      <c r="U48" s="71"/>
      <c r="V48" s="71"/>
      <c r="W48" s="162"/>
    </row>
    <row r="49" spans="3:23" ht="4.5" customHeight="1">
      <c r="C49" s="150"/>
      <c r="D49" s="150"/>
      <c r="E49" s="150"/>
      <c r="F49" s="150"/>
      <c r="G49" s="150"/>
      <c r="H49" s="150"/>
      <c r="I49" s="150"/>
      <c r="J49" s="150"/>
      <c r="K49" s="152"/>
      <c r="M49" s="153"/>
      <c r="N49" s="33"/>
      <c r="P49" s="161"/>
      <c r="Q49" s="71"/>
      <c r="R49" s="71"/>
      <c r="S49" s="71"/>
      <c r="T49" s="71"/>
      <c r="U49" s="71"/>
      <c r="V49" s="71"/>
      <c r="W49" s="162"/>
    </row>
    <row r="50" spans="1:23" ht="17.25" customHeight="1">
      <c r="A50" s="33" t="s">
        <v>203</v>
      </c>
      <c r="B50" s="3" t="s">
        <v>30</v>
      </c>
      <c r="C50" s="141" t="str">
        <f>"2."&amp;+$D$22&amp;"  3."&amp;+$D$4</f>
        <v>2.Gruppe B  3.Gruppe A</v>
      </c>
      <c r="D50" s="142" t="str">
        <f>IF($Y$31="","",(IF(ISERROR(VLOOKUP($A$3&amp;TEXT($A50,"00"),Sonntag!$A$24:$X$205,8,FALSE)),"",VLOOKUP($A$3&amp;TEXT($A50,"00"),Sonntag!$A$24:$X$205,8,FALSE)))&amp;" : "&amp;IF($Y$31="","",IF(ISERROR(VLOOKUP($A$3&amp;TEXT($A50,"00"),Sonntag!$A$24:$X$205,11,FALSE)),"",VLOOKUP($A$3&amp;TEXT($A50,"00"),Sonntag!$A$24:$X$205,11,FALSE))))</f>
        <v>SV Diepoldshofen : TV Rieschweiler</v>
      </c>
      <c r="E50" s="143"/>
      <c r="F50" s="143"/>
      <c r="G50" s="143"/>
      <c r="H50" s="143"/>
      <c r="I50" s="144"/>
      <c r="J50" s="136"/>
      <c r="K50" s="145">
        <f>IF(ISERROR(VLOOKUP($A$3&amp;TEXT($A50,"00"),Sonntag!$A$24:$X$205,16,FALSE)),"",VLOOKUP($A$3&amp;TEXT($A50,"00"),Sonntag!$A$24:$X$205,16,FALSE))</f>
        <v>44</v>
      </c>
      <c r="L50" s="146" t="s">
        <v>22</v>
      </c>
      <c r="M50" s="147">
        <f>IF(ISERROR(VLOOKUP($A$3&amp;TEXT($A50,"00"),Sonntag!$A$24:$X$205,18,FALSE)),"",VLOOKUP($A$3&amp;TEXT($A50,"00"),Sonntag!$A$24:$X$205,18,FALSE))</f>
        <v>33</v>
      </c>
      <c r="N50" s="33"/>
      <c r="P50" s="161">
        <v>4</v>
      </c>
      <c r="Q50" s="163" t="str">
        <f>IF(K58=0,""," "&amp;IF(M$58&lt;K$58,IF(ISERROR(VLOOKUP($A$3&amp;TEXT($A58,"00"),Sonntag!$A$24:$X$205,11,FALSE)),"",VLOOKUP($A$3&amp;TEXT($A58,"00"),Sonntag!$A$24:$X$205,11,FALSE)),IF(M$58&gt;K$58,IF(ISERROR(VLOOKUP($A$3&amp;TEXT($A58,"00"),Sonntag!$A$24:$X$205,8,FALSE)),"",VLOOKUP($A$3&amp;TEXT($A58,"00"),Sonntag!$A$24:$X$205,8,FALSE)))))</f>
        <v> MTV Wohnste</v>
      </c>
      <c r="R50" s="71"/>
      <c r="S50" s="71"/>
      <c r="T50" s="71"/>
      <c r="U50" s="71"/>
      <c r="V50" s="71"/>
      <c r="W50" s="162"/>
    </row>
    <row r="51" spans="3:23" ht="18" customHeight="1">
      <c r="C51" s="150" t="s">
        <v>31</v>
      </c>
      <c r="D51" s="150"/>
      <c r="E51" s="150"/>
      <c r="F51" s="150"/>
      <c r="G51" s="150"/>
      <c r="H51" s="150"/>
      <c r="I51" s="150"/>
      <c r="J51" s="150"/>
      <c r="K51" s="152"/>
      <c r="M51" s="153"/>
      <c r="N51" s="33"/>
      <c r="P51" s="161">
        <v>5</v>
      </c>
      <c r="Q51" s="163" t="str">
        <f>IF(K56=0,""," "&amp;IF(M$56&gt;K$56,IF(ISERROR(VLOOKUP($A$3&amp;TEXT($A56,"00"),Sonntag!$A$24:$X$205,11,FALSE)),"",VLOOKUP($A$3&amp;TEXT($A56,"00"),Sonntag!$A$24:$X$205,11,FALSE)),IF(M$56&lt;K$56,IF(ISERROR(VLOOKUP($A$3&amp;TEXT($A56,"00"),Sonntag!$A$24:$X$205,8,FALSE)),"",VLOOKUP($A$3&amp;TEXT($A56,"00"),Sonntag!$A$24:$X$205,8,FALSE)))))</f>
        <v> SV Weiler</v>
      </c>
      <c r="R51" s="71"/>
      <c r="S51" s="71"/>
      <c r="T51" s="71"/>
      <c r="U51" s="71"/>
      <c r="V51" s="71"/>
      <c r="W51" s="162"/>
    </row>
    <row r="52" spans="1:23" ht="17.25" customHeight="1">
      <c r="A52" s="33" t="s">
        <v>204</v>
      </c>
      <c r="B52" s="3" t="s">
        <v>32</v>
      </c>
      <c r="C52" s="141" t="str">
        <f>"1."&amp;+$D$4&amp;"  Sieger "&amp;+$B$50</f>
        <v>1.Gruppe A  Sieger d</v>
      </c>
      <c r="D52" s="142" t="str">
        <f>IF($Y$31="","",(IF(ISERROR(VLOOKUP($A$3&amp;TEXT($A52,"00"),Sonntag!$A$24:$X$205,8,FALSE)),"",VLOOKUP($A$3&amp;TEXT($A52,"00"),Sonntag!$A$24:$X$205,8,FALSE)))&amp;" : "&amp;IF($K$50="","",IF(ISERROR(VLOOKUP($A$3&amp;TEXT($A52,"00"),Sonntag!$A$24:$X$205,11,FALSE)),"",VLOOKUP($A$3&amp;TEXT($A52,"00"),Sonntag!$A$24:$X$205,11,FALSE))))</f>
        <v>TV Winterhagen : SV Diepoldshofen</v>
      </c>
      <c r="E52" s="143"/>
      <c r="F52" s="143"/>
      <c r="G52" s="143"/>
      <c r="H52" s="143"/>
      <c r="I52" s="144"/>
      <c r="J52" s="136"/>
      <c r="K52" s="145">
        <f>IF(ISERROR(VLOOKUP($A$3&amp;TEXT($A52,"00"),Sonntag!$A$24:$X$205,16,FALSE)),"",VLOOKUP($A$3&amp;TEXT($A52,"00"),Sonntag!$A$24:$X$205,16,FALSE))</f>
        <v>51</v>
      </c>
      <c r="L52" s="146" t="s">
        <v>22</v>
      </c>
      <c r="M52" s="147">
        <f>IF(ISERROR(VLOOKUP($A$3&amp;TEXT($A52,"00"),Sonntag!$A$24:$X$205,18,FALSE)),"",VLOOKUP($A$3&amp;TEXT($A52,"00"),Sonntag!$A$24:$X$205,18,FALSE))</f>
        <v>30</v>
      </c>
      <c r="N52" s="33" t="s">
        <v>197</v>
      </c>
      <c r="P52" s="161">
        <v>6</v>
      </c>
      <c r="Q52" s="163" t="str">
        <f>IF(K56=0,""," "&amp;IF(M$56&lt;K$56,IF(ISERROR(VLOOKUP($A$3&amp;TEXT($A56,"00"),Sonntag!$A$24:$X$205,11,FALSE)),"",VLOOKUP($A$3&amp;TEXT($A56,"00"),Sonntag!$A$24:$X$205,11,FALSE)),IF(M$56&gt;K$56,IF(ISERROR(VLOOKUP($A$3&amp;TEXT($A56,"00"),Sonntag!$A$24:$X$205,8,FALSE)),"",VLOOKUP($A$3&amp;TEXT($A56,"00"),Sonntag!$A$24:$X$205,8,FALSE)))))</f>
        <v> TV Rieschweiler</v>
      </c>
      <c r="R52" s="71"/>
      <c r="S52" s="71"/>
      <c r="T52" s="71"/>
      <c r="U52" s="71"/>
      <c r="V52" s="71"/>
      <c r="W52" s="162"/>
    </row>
    <row r="53" spans="3:23" ht="4.5" customHeight="1">
      <c r="C53" s="151"/>
      <c r="D53" s="150"/>
      <c r="E53" s="150"/>
      <c r="F53" s="151"/>
      <c r="G53" s="150"/>
      <c r="H53" s="150"/>
      <c r="I53" s="150"/>
      <c r="J53" s="150"/>
      <c r="K53" s="152"/>
      <c r="M53" s="153"/>
      <c r="N53" s="33"/>
      <c r="P53" s="161"/>
      <c r="Q53" s="71"/>
      <c r="R53" s="71"/>
      <c r="S53" s="71"/>
      <c r="T53" s="71"/>
      <c r="U53" s="71"/>
      <c r="V53" s="71"/>
      <c r="W53" s="162"/>
    </row>
    <row r="54" spans="1:23" ht="17.25" customHeight="1">
      <c r="A54" s="33" t="s">
        <v>205</v>
      </c>
      <c r="B54" s="3" t="s">
        <v>33</v>
      </c>
      <c r="C54" s="141" t="str">
        <f>"1."&amp;+$D$22&amp;"  Sieger "&amp;+$B$48</f>
        <v>1.Gruppe B  Sieger c</v>
      </c>
      <c r="D54" s="142" t="str">
        <f>IF($Y$31="","",(IF(ISERROR(VLOOKUP($A$3&amp;TEXT($A54,"00"),Sonntag!$A$24:$X$205,8,FALSE)),"",VLOOKUP($A$3&amp;TEXT($A54,"00"),Sonntag!$A$24:$X$205,8,FALSE)))&amp;" : "&amp;IF($K$48="","",IF(ISERROR(VLOOKUP($A$3&amp;TEXT($A54,"00"),Sonntag!$A$24:$X$205,11,FALSE)),"",VLOOKUP($A$3&amp;TEXT($A54,"00"),Sonntag!$A$24:$X$205,11,FALSE))))</f>
        <v>MTV Wohnste : TV Sottrum</v>
      </c>
      <c r="E54" s="143"/>
      <c r="F54" s="143"/>
      <c r="G54" s="143"/>
      <c r="H54" s="143"/>
      <c r="I54" s="143"/>
      <c r="J54" s="136"/>
      <c r="K54" s="145">
        <f>IF(ISERROR(VLOOKUP($A$3&amp;TEXT($A54,"00"),Sonntag!$A$24:$X$205,16,FALSE)),"",VLOOKUP($A$3&amp;TEXT($A54,"00"),Sonntag!$A$24:$X$205,16,FALSE))</f>
        <v>30</v>
      </c>
      <c r="L54" s="146" t="s">
        <v>22</v>
      </c>
      <c r="M54" s="147">
        <f>IF(ISERROR(VLOOKUP($A$3&amp;TEXT($A54,"00"),Sonntag!$A$24:$X$205,18,FALSE)),"",VLOOKUP($A$3&amp;TEXT($A54,"00"),Sonntag!$A$24:$X$205,18,FALSE))</f>
        <v>35</v>
      </c>
      <c r="N54" s="33" t="s">
        <v>197</v>
      </c>
      <c r="P54" s="161">
        <v>7</v>
      </c>
      <c r="Q54" s="163" t="str">
        <f>IF(K42=0,""," "&amp;IF(M$46&gt;K$46,IF(ISERROR(VLOOKUP($A$3&amp;TEXT($A46,"00"),Sonntag!$A$24:$X$205,11,FALSE)),"",VLOOKUP($A$3&amp;TEXT($A46,"00"),Sonntag!$A$24:$X$205,11,FALSE)),IF(M$46&lt;K$46,IF(ISERROR(VLOOKUP($A$3&amp;TEXT($A46,"00"),Sonntag!$A$24:$X$205,8,FALSE)),"",VLOOKUP($A$3&amp;TEXT($A46,"00"),Sonntag!$A$24:$X$205,8,FALSE)))))</f>
        <v> MTV Eiche Schönebeck</v>
      </c>
      <c r="R54" s="71"/>
      <c r="S54" s="71"/>
      <c r="T54" s="71"/>
      <c r="U54" s="71"/>
      <c r="V54" s="71"/>
      <c r="W54" s="162"/>
    </row>
    <row r="55" spans="3:23" ht="18" customHeight="1">
      <c r="C55" s="164" t="s">
        <v>159</v>
      </c>
      <c r="D55" s="150"/>
      <c r="E55" s="150"/>
      <c r="F55" s="151"/>
      <c r="G55" s="150"/>
      <c r="H55" s="150"/>
      <c r="I55" s="150"/>
      <c r="J55" s="150"/>
      <c r="K55" s="152"/>
      <c r="M55" s="153"/>
      <c r="N55" s="33"/>
      <c r="P55" s="161">
        <v>8</v>
      </c>
      <c r="Q55" s="163" t="str">
        <f>IF(K42=0,""," "&amp;IF(M$46&lt;K$46,IF(ISERROR(VLOOKUP($A$3&amp;TEXT($A46,"00"),Sonntag!$A$24:$X$205,11,FALSE)),"",VLOOKUP($A$3&amp;TEXT($A46,"00"),Sonntag!$A$24:$X$205,11,FALSE)),IF(M$46&gt;K$46,IF(ISERROR(VLOOKUP($A$3&amp;TEXT($A46,"00"),Sonntag!$A$24:$X$205,8,FALSE)),"",VLOOKUP($A$3&amp;TEXT($A46,"00"),Sonntag!$A$24:$X$205,8,FALSE)))))</f>
        <v> TV Berkenbaum</v>
      </c>
      <c r="R55" s="71"/>
      <c r="S55" s="71"/>
      <c r="T55" s="71"/>
      <c r="U55" s="71"/>
      <c r="V55" s="71"/>
      <c r="W55" s="162"/>
    </row>
    <row r="56" spans="1:23" ht="17.25" customHeight="1">
      <c r="A56" s="33" t="s">
        <v>216</v>
      </c>
      <c r="C56" s="141" t="str">
        <f>"V."&amp;B48&amp;"/"&amp;B50&amp;"         5./6. Pl."</f>
        <v>V.c/d         5./6. Pl.</v>
      </c>
      <c r="D56" s="142" t="str">
        <f>IF($K$52=0,"",(IF(ISERROR(VLOOKUP($A$3&amp;TEXT($A56,"00"),Sonntag!$A$24:$X$205,8,FALSE)),"",VLOOKUP($A$3&amp;TEXT($A56,"00"),Sonntag!$A$24:$X$205,8,FALSE)))&amp;" : "&amp;IF(ISERROR(VLOOKUP($A$3&amp;TEXT($A56,"00"),Sonntag!$A$24:$X$205,11,FALSE)),"",VLOOKUP($A$3&amp;TEXT($A56,"00"),Sonntag!$A$24:$X$205,11,FALSE)))</f>
        <v>SV Weiler : TV Rieschweiler</v>
      </c>
      <c r="E56" s="143"/>
      <c r="F56" s="143"/>
      <c r="G56" s="143"/>
      <c r="H56" s="143"/>
      <c r="I56" s="143"/>
      <c r="J56" s="136"/>
      <c r="K56" s="145">
        <f>IF(ISERROR(VLOOKUP($A$3&amp;TEXT($A56,"00"),Sonntag!$A$24:$X$205,16,FALSE)),"",VLOOKUP($A$3&amp;TEXT($A56,"00"),Sonntag!$A$24:$X$205,16,FALSE))</f>
        <v>29</v>
      </c>
      <c r="L56" s="146" t="s">
        <v>22</v>
      </c>
      <c r="M56" s="147">
        <f>IF(ISERROR(VLOOKUP($A$3&amp;TEXT($A56,"00"),Sonntag!$A$24:$X$205,18,FALSE)),"",VLOOKUP($A$3&amp;TEXT($A56,"00"),Sonntag!$A$24:$X$205,18,FALSE))</f>
        <v>25</v>
      </c>
      <c r="N56" s="33"/>
      <c r="P56" s="161">
        <v>9</v>
      </c>
      <c r="Q56" s="163" t="str">
        <f>IF(K42=0,""," "&amp;IF(M$44&gt;K$44,IF(ISERROR(VLOOKUP($A$3&amp;TEXT($A44,"00"),Sonntag!$A$24:$X$205,11,FALSE)),"",VLOOKUP($A$3&amp;TEXT($A44,"00"),Sonntag!$A$24:$X$205,11,FALSE)),IF(M$44&lt;K$44,IF(ISERROR(VLOOKUP($A$3&amp;TEXT($A44,"00"),Sonntag!$A$24:$X$205,8,FALSE)),"",VLOOKUP($A$3&amp;TEXT($A44,"00"),Sonntag!$A$24:$X$205,8,FALSE)))))</f>
        <v> TuS Meinerzhagen</v>
      </c>
      <c r="R56" s="71"/>
      <c r="S56" s="71"/>
      <c r="T56" s="71"/>
      <c r="U56" s="71"/>
      <c r="V56" s="71"/>
      <c r="W56" s="162"/>
    </row>
    <row r="57" spans="3:23" ht="4.5" customHeight="1">
      <c r="C57" s="150"/>
      <c r="D57" s="150"/>
      <c r="E57" s="150"/>
      <c r="F57" s="150"/>
      <c r="G57" s="150"/>
      <c r="H57" s="150"/>
      <c r="I57" s="151"/>
      <c r="J57" s="150"/>
      <c r="K57" s="152"/>
      <c r="M57" s="153"/>
      <c r="N57" s="33"/>
      <c r="P57" s="161"/>
      <c r="Q57" s="71"/>
      <c r="R57" s="71"/>
      <c r="S57" s="71"/>
      <c r="T57" s="71"/>
      <c r="U57" s="71"/>
      <c r="V57" s="71"/>
      <c r="W57" s="162"/>
    </row>
    <row r="58" spans="1:23" ht="17.25" customHeight="1">
      <c r="A58" s="33" t="s">
        <v>206</v>
      </c>
      <c r="C58" s="141" t="str">
        <f>"V."&amp;B52&amp;"/"&amp;B54&amp;"         3./4. Pl."</f>
        <v>V.e/f         3./4. Pl.</v>
      </c>
      <c r="D58" s="142" t="str">
        <f>IF($K$52=0,"",(IF(ISERROR(VLOOKUP($A$3&amp;TEXT($A58,"00"),Sonntag!$A$24:$X$205,8,FALSE)),"",VLOOKUP($A$3&amp;TEXT($A58,"00"),Sonntag!$A$24:$X$205,8,FALSE)))&amp;" : "&amp;IF(ISERROR(VLOOKUP($A$3&amp;TEXT($A58,"00"),Sonntag!$A$24:$X$205,11,FALSE)),"",VLOOKUP($A$3&amp;TEXT($A58,"00"),Sonntag!$A$24:$X$205,11,FALSE)))</f>
        <v>MTV Wohnste : SV Diepoldshofen</v>
      </c>
      <c r="E58" s="143"/>
      <c r="F58" s="144"/>
      <c r="G58" s="143"/>
      <c r="H58" s="143"/>
      <c r="I58" s="143"/>
      <c r="J58" s="136"/>
      <c r="K58" s="145">
        <f>IF(ISERROR(VLOOKUP($A$3&amp;TEXT($A58,"00"),Sonntag!$A$24:$X$205,16,FALSE)),"",VLOOKUP($A$3&amp;TEXT($A58,"00"),Sonntag!$A$24:$X$205,16,FALSE))</f>
        <v>31</v>
      </c>
      <c r="L58" s="146" t="s">
        <v>22</v>
      </c>
      <c r="M58" s="147">
        <f>IF(ISERROR(VLOOKUP($A$3&amp;TEXT($A58,"00"),Sonntag!$A$24:$X$205,18,FALSE)),"",VLOOKUP($A$3&amp;TEXT($A58,"00"),Sonntag!$A$24:$X$205,18,FALSE))</f>
        <v>45</v>
      </c>
      <c r="N58" s="33"/>
      <c r="P58" s="165">
        <v>10</v>
      </c>
      <c r="Q58" s="166" t="str">
        <f>IF(K42=0,""," "&amp;IF(M$44&lt;K$44,IF(ISERROR(VLOOKUP($A$3&amp;TEXT($A44,"00"),Sonntag!$A$24:$X$205,11,FALSE)),"",VLOOKUP($A$3&amp;TEXT($A44,"00"),Sonntag!$A$24:$X$205,11,FALSE)),IF(M$44&gt;K$44,IF(ISERROR(VLOOKUP($A$3&amp;TEXT($A44,"00"),Sonntag!$A$24:$X$205,8,FALSE)),"",VLOOKUP($A$3&amp;TEXT($A44,"00"),Sonntag!$A$24:$X$205,8,FALSE)))))</f>
        <v> TV Mahndorf</v>
      </c>
      <c r="R58" s="167"/>
      <c r="S58" s="167"/>
      <c r="T58" s="167"/>
      <c r="U58" s="167"/>
      <c r="V58" s="167"/>
      <c r="W58" s="168"/>
    </row>
    <row r="59" spans="3:14" ht="18" customHeight="1">
      <c r="C59" s="104" t="s">
        <v>34</v>
      </c>
      <c r="D59" s="132"/>
      <c r="E59" s="150"/>
      <c r="F59" s="150"/>
      <c r="G59" s="150"/>
      <c r="H59" s="132"/>
      <c r="I59" s="169"/>
      <c r="J59" s="132"/>
      <c r="K59" s="152"/>
      <c r="M59" s="153"/>
      <c r="N59" s="33"/>
    </row>
    <row r="60" spans="1:14" ht="17.25" customHeight="1">
      <c r="A60" s="33" t="s">
        <v>207</v>
      </c>
      <c r="C60" s="141" t="str">
        <f>"S."&amp;B52&amp;"/"&amp;B54&amp;"         1./2. Pl."</f>
        <v>S.e/f         1./2. Pl.</v>
      </c>
      <c r="D60" s="142" t="str">
        <f>IF($K$52=0,"",(IF(ISERROR(VLOOKUP($A$3&amp;TEXT($A60,"00"),Sonntag!$A$24:$X$205,8,FALSE)),"",VLOOKUP($A$3&amp;TEXT($A60,"00"),Sonntag!$A$24:$X$205,8,FALSE)))&amp;" : "&amp;IF(ISERROR(VLOOKUP($A$3&amp;TEXT($A60,"00"),Sonntag!$A$24:$X$205,11,FALSE)),"",VLOOKUP($A$3&amp;TEXT($A60,"00"),Sonntag!$A$24:$X$205,11,FALSE)))</f>
        <v>TV Sottrum : TV Winterhagen</v>
      </c>
      <c r="E60" s="154"/>
      <c r="F60" s="170"/>
      <c r="G60" s="154"/>
      <c r="H60" s="143"/>
      <c r="I60" s="143"/>
      <c r="J60" s="136"/>
      <c r="K60" s="145">
        <f>IF(ISERROR(VLOOKUP($A$3&amp;TEXT($A60,"00"),Sonntag!$A$24:$X$205,16,FALSE)),"",VLOOKUP($A$3&amp;TEXT($A60,"00"),Sonntag!$A$24:$X$205,16,FALSE))</f>
        <v>30</v>
      </c>
      <c r="L60" s="146" t="s">
        <v>22</v>
      </c>
      <c r="M60" s="147">
        <f>IF(ISERROR(VLOOKUP($A$3&amp;TEXT($A60,"00"),Sonntag!$A$24:$X$205,18,FALSE)),"",VLOOKUP($A$3&amp;TEXT($A60,"00"),Sonntag!$A$24:$X$205,18,FALSE))</f>
        <v>34</v>
      </c>
      <c r="N60" s="33"/>
    </row>
  </sheetData>
  <sheetProtection/>
  <conditionalFormatting sqref="H5">
    <cfRule type="cellIs" priority="116" dxfId="0" operator="lessThan" stopIfTrue="1">
      <formula>1</formula>
    </cfRule>
  </conditionalFormatting>
  <conditionalFormatting sqref="H23">
    <cfRule type="cellIs" priority="115" dxfId="0" operator="lessThan" stopIfTrue="1">
      <formula>1</formula>
    </cfRule>
  </conditionalFormatting>
  <conditionalFormatting sqref="J5">
    <cfRule type="cellIs" priority="114" dxfId="0" operator="lessThan" stopIfTrue="1">
      <formula>1</formula>
    </cfRule>
  </conditionalFormatting>
  <conditionalFormatting sqref="K5">
    <cfRule type="cellIs" priority="113" dxfId="0" operator="lessThan" stopIfTrue="1">
      <formula>1</formula>
    </cfRule>
  </conditionalFormatting>
  <conditionalFormatting sqref="M5">
    <cfRule type="cellIs" priority="112" dxfId="0" operator="lessThan" stopIfTrue="1">
      <formula>1</formula>
    </cfRule>
  </conditionalFormatting>
  <conditionalFormatting sqref="N5">
    <cfRule type="cellIs" priority="111" dxfId="0" operator="lessThan" stopIfTrue="1">
      <formula>1</formula>
    </cfRule>
  </conditionalFormatting>
  <conditionalFormatting sqref="P5">
    <cfRule type="cellIs" priority="110" dxfId="0" operator="lessThan" stopIfTrue="1">
      <formula>1</formula>
    </cfRule>
  </conditionalFormatting>
  <conditionalFormatting sqref="Q5">
    <cfRule type="cellIs" priority="109" dxfId="0" operator="lessThan" stopIfTrue="1">
      <formula>1</formula>
    </cfRule>
  </conditionalFormatting>
  <conditionalFormatting sqref="S5">
    <cfRule type="cellIs" priority="108" dxfId="0" operator="lessThan" stopIfTrue="1">
      <formula>1</formula>
    </cfRule>
  </conditionalFormatting>
  <conditionalFormatting sqref="Q7">
    <cfRule type="cellIs" priority="107" dxfId="0" operator="lessThan" stopIfTrue="1">
      <formula>1</formula>
    </cfRule>
  </conditionalFormatting>
  <conditionalFormatting sqref="S7">
    <cfRule type="cellIs" priority="106" dxfId="0" operator="lessThan" stopIfTrue="1">
      <formula>1</formula>
    </cfRule>
  </conditionalFormatting>
  <conditionalFormatting sqref="Q9">
    <cfRule type="cellIs" priority="105" dxfId="0" operator="lessThan" stopIfTrue="1">
      <formula>1</formula>
    </cfRule>
  </conditionalFormatting>
  <conditionalFormatting sqref="S9">
    <cfRule type="cellIs" priority="104" dxfId="0" operator="lessThan" stopIfTrue="1">
      <formula>1</formula>
    </cfRule>
  </conditionalFormatting>
  <conditionalFormatting sqref="Q11">
    <cfRule type="cellIs" priority="103" dxfId="0" operator="lessThan" stopIfTrue="1">
      <formula>1</formula>
    </cfRule>
  </conditionalFormatting>
  <conditionalFormatting sqref="S11">
    <cfRule type="cellIs" priority="102" dxfId="0" operator="lessThan" stopIfTrue="1">
      <formula>1</formula>
    </cfRule>
  </conditionalFormatting>
  <conditionalFormatting sqref="N9">
    <cfRule type="cellIs" priority="101" dxfId="0" operator="lessThan" stopIfTrue="1">
      <formula>1</formula>
    </cfRule>
  </conditionalFormatting>
  <conditionalFormatting sqref="P9">
    <cfRule type="cellIs" priority="100" dxfId="0" operator="lessThan" stopIfTrue="1">
      <formula>1</formula>
    </cfRule>
  </conditionalFormatting>
  <conditionalFormatting sqref="N7">
    <cfRule type="cellIs" priority="99" dxfId="0" operator="lessThan" stopIfTrue="1">
      <formula>1</formula>
    </cfRule>
  </conditionalFormatting>
  <conditionalFormatting sqref="P7">
    <cfRule type="cellIs" priority="98" dxfId="0" operator="lessThan" stopIfTrue="1">
      <formula>1</formula>
    </cfRule>
  </conditionalFormatting>
  <conditionalFormatting sqref="K7">
    <cfRule type="cellIs" priority="97" dxfId="0" operator="lessThan" stopIfTrue="1">
      <formula>1</formula>
    </cfRule>
  </conditionalFormatting>
  <conditionalFormatting sqref="M7">
    <cfRule type="cellIs" priority="96" dxfId="0" operator="lessThan" stopIfTrue="1">
      <formula>1</formula>
    </cfRule>
  </conditionalFormatting>
  <conditionalFormatting sqref="J23">
    <cfRule type="cellIs" priority="95" dxfId="0" operator="lessThan" stopIfTrue="1">
      <formula>1</formula>
    </cfRule>
  </conditionalFormatting>
  <conditionalFormatting sqref="M23">
    <cfRule type="cellIs" priority="93" dxfId="0" operator="lessThan" stopIfTrue="1">
      <formula>1</formula>
    </cfRule>
  </conditionalFormatting>
  <conditionalFormatting sqref="K23">
    <cfRule type="cellIs" priority="90" dxfId="0" operator="lessThan" stopIfTrue="1">
      <formula>1</formula>
    </cfRule>
  </conditionalFormatting>
  <conditionalFormatting sqref="K25">
    <cfRule type="cellIs" priority="88" dxfId="0" operator="lessThan" stopIfTrue="1">
      <formula>1</formula>
    </cfRule>
  </conditionalFormatting>
  <conditionalFormatting sqref="M25">
    <cfRule type="cellIs" priority="87" dxfId="0" operator="lessThan" stopIfTrue="1">
      <formula>1</formula>
    </cfRule>
  </conditionalFormatting>
  <conditionalFormatting sqref="N25">
    <cfRule type="cellIs" priority="86" dxfId="0" operator="lessThan" stopIfTrue="1">
      <formula>1</formula>
    </cfRule>
  </conditionalFormatting>
  <conditionalFormatting sqref="P25">
    <cfRule type="cellIs" priority="85" dxfId="0" operator="lessThan" stopIfTrue="1">
      <formula>1</formula>
    </cfRule>
  </conditionalFormatting>
  <conditionalFormatting sqref="N23">
    <cfRule type="cellIs" priority="84" dxfId="0" operator="lessThan" stopIfTrue="1">
      <formula>1</formula>
    </cfRule>
  </conditionalFormatting>
  <conditionalFormatting sqref="P23">
    <cfRule type="cellIs" priority="83" dxfId="0" operator="lessThan" stopIfTrue="1">
      <formula>1</formula>
    </cfRule>
  </conditionalFormatting>
  <conditionalFormatting sqref="Q23">
    <cfRule type="cellIs" priority="82" dxfId="0" operator="lessThan" stopIfTrue="1">
      <formula>1</formula>
    </cfRule>
  </conditionalFormatting>
  <conditionalFormatting sqref="S23">
    <cfRule type="cellIs" priority="81" dxfId="0" operator="lessThan" stopIfTrue="1">
      <formula>1</formula>
    </cfRule>
  </conditionalFormatting>
  <conditionalFormatting sqref="Q25">
    <cfRule type="cellIs" priority="80" dxfId="0" operator="lessThan" stopIfTrue="1">
      <formula>1</formula>
    </cfRule>
  </conditionalFormatting>
  <conditionalFormatting sqref="S25">
    <cfRule type="cellIs" priority="79" dxfId="0" operator="lessThan" stopIfTrue="1">
      <formula>1</formula>
    </cfRule>
  </conditionalFormatting>
  <conditionalFormatting sqref="Q27">
    <cfRule type="cellIs" priority="78" dxfId="0" operator="lessThan" stopIfTrue="1">
      <formula>1</formula>
    </cfRule>
  </conditionalFormatting>
  <conditionalFormatting sqref="S27">
    <cfRule type="cellIs" priority="77" dxfId="0" operator="lessThan" stopIfTrue="1">
      <formula>1</formula>
    </cfRule>
  </conditionalFormatting>
  <conditionalFormatting sqref="N27">
    <cfRule type="cellIs" priority="76" dxfId="0" operator="lessThan" stopIfTrue="1">
      <formula>1</formula>
    </cfRule>
  </conditionalFormatting>
  <conditionalFormatting sqref="P27">
    <cfRule type="cellIs" priority="75" dxfId="0" operator="lessThan" stopIfTrue="1">
      <formula>1</formula>
    </cfRule>
  </conditionalFormatting>
  <conditionalFormatting sqref="Q29">
    <cfRule type="cellIs" priority="74" dxfId="0" operator="lessThan" stopIfTrue="1">
      <formula>1</formula>
    </cfRule>
  </conditionalFormatting>
  <conditionalFormatting sqref="S29">
    <cfRule type="cellIs" priority="71" dxfId="0" operator="lessThan" stopIfTrue="1">
      <formula>1</formula>
    </cfRule>
  </conditionalFormatting>
  <conditionalFormatting sqref="K40">
    <cfRule type="cellIs" priority="69" dxfId="0" operator="lessThan" stopIfTrue="1">
      <formula>1</formula>
    </cfRule>
  </conditionalFormatting>
  <conditionalFormatting sqref="M40">
    <cfRule type="cellIs" priority="67" dxfId="0" operator="lessThan" stopIfTrue="1">
      <formula>1</formula>
    </cfRule>
  </conditionalFormatting>
  <conditionalFormatting sqref="K42">
    <cfRule type="cellIs" priority="65" dxfId="0" operator="lessThan" stopIfTrue="1">
      <formula>1</formula>
    </cfRule>
  </conditionalFormatting>
  <conditionalFormatting sqref="M42">
    <cfRule type="cellIs" priority="63" dxfId="0" operator="lessThan" stopIfTrue="1">
      <formula>1</formula>
    </cfRule>
  </conditionalFormatting>
  <conditionalFormatting sqref="K44">
    <cfRule type="cellIs" priority="61" dxfId="0" operator="lessThan" stopIfTrue="1">
      <formula>1</formula>
    </cfRule>
  </conditionalFormatting>
  <conditionalFormatting sqref="M44">
    <cfRule type="cellIs" priority="59" dxfId="0" operator="lessThan" stopIfTrue="1">
      <formula>1</formula>
    </cfRule>
  </conditionalFormatting>
  <conditionalFormatting sqref="K46">
    <cfRule type="cellIs" priority="57" dxfId="0" operator="lessThan" stopIfTrue="1">
      <formula>1</formula>
    </cfRule>
  </conditionalFormatting>
  <conditionalFormatting sqref="M46">
    <cfRule type="cellIs" priority="55" dxfId="0" operator="lessThan" stopIfTrue="1">
      <formula>1</formula>
    </cfRule>
  </conditionalFormatting>
  <conditionalFormatting sqref="K44">
    <cfRule type="cellIs" priority="53" dxfId="0" operator="lessThan" stopIfTrue="1">
      <formula>1</formula>
    </cfRule>
  </conditionalFormatting>
  <conditionalFormatting sqref="M44">
    <cfRule type="cellIs" priority="51" dxfId="0" operator="lessThan" stopIfTrue="1">
      <formula>1</formula>
    </cfRule>
  </conditionalFormatting>
  <conditionalFormatting sqref="K48">
    <cfRule type="cellIs" priority="49" dxfId="0" operator="lessThan" stopIfTrue="1">
      <formula>1</formula>
    </cfRule>
  </conditionalFormatting>
  <conditionalFormatting sqref="M48">
    <cfRule type="cellIs" priority="48" dxfId="0" operator="lessThan" stopIfTrue="1">
      <formula>1</formula>
    </cfRule>
  </conditionalFormatting>
  <conditionalFormatting sqref="K50">
    <cfRule type="cellIs" priority="46" dxfId="0" operator="lessThan" stopIfTrue="1">
      <formula>1</formula>
    </cfRule>
  </conditionalFormatting>
  <conditionalFormatting sqref="M50">
    <cfRule type="cellIs" priority="44" dxfId="0" operator="lessThan" stopIfTrue="1">
      <formula>1</formula>
    </cfRule>
  </conditionalFormatting>
  <conditionalFormatting sqref="K52">
    <cfRule type="cellIs" priority="42" dxfId="0" operator="lessThan" stopIfTrue="1">
      <formula>1</formula>
    </cfRule>
  </conditionalFormatting>
  <conditionalFormatting sqref="M52">
    <cfRule type="cellIs" priority="39" dxfId="0" operator="lessThan" stopIfTrue="1">
      <formula>1</formula>
    </cfRule>
  </conditionalFormatting>
  <conditionalFormatting sqref="K54">
    <cfRule type="cellIs" priority="37" dxfId="0" operator="lessThan" stopIfTrue="1">
      <formula>1</formula>
    </cfRule>
  </conditionalFormatting>
  <conditionalFormatting sqref="M54">
    <cfRule type="cellIs" priority="35" dxfId="0" operator="lessThan" stopIfTrue="1">
      <formula>1</formula>
    </cfRule>
  </conditionalFormatting>
  <conditionalFormatting sqref="K56">
    <cfRule type="cellIs" priority="34" dxfId="0" operator="lessThan" stopIfTrue="1">
      <formula>1</formula>
    </cfRule>
  </conditionalFormatting>
  <conditionalFormatting sqref="M56">
    <cfRule type="cellIs" priority="31" dxfId="0" operator="lessThan" stopIfTrue="1">
      <formula>1</formula>
    </cfRule>
  </conditionalFormatting>
  <conditionalFormatting sqref="K58">
    <cfRule type="cellIs" priority="30" dxfId="0" operator="lessThan" stopIfTrue="1">
      <formula>1</formula>
    </cfRule>
  </conditionalFormatting>
  <conditionalFormatting sqref="M58">
    <cfRule type="cellIs" priority="28" dxfId="0" operator="lessThan" stopIfTrue="1">
      <formula>1</formula>
    </cfRule>
  </conditionalFormatting>
  <conditionalFormatting sqref="K60">
    <cfRule type="cellIs" priority="26" dxfId="0" operator="lessThan" stopIfTrue="1">
      <formula>1</formula>
    </cfRule>
  </conditionalFormatting>
  <conditionalFormatting sqref="M60">
    <cfRule type="cellIs" priority="24" dxfId="0" operator="lessThan" stopIfTrue="1">
      <formula>1</formula>
    </cfRule>
  </conditionalFormatting>
  <conditionalFormatting sqref="Q46">
    <cfRule type="cellIs" priority="21" dxfId="0" operator="lessThan" stopIfTrue="1">
      <formula>1</formula>
    </cfRule>
  </conditionalFormatting>
  <conditionalFormatting sqref="Q47">
    <cfRule type="cellIs" priority="20" dxfId="0" operator="lessThan" stopIfTrue="1">
      <formula>1</formula>
    </cfRule>
  </conditionalFormatting>
  <conditionalFormatting sqref="Q46">
    <cfRule type="cellIs" priority="18" dxfId="0" operator="lessThan" stopIfTrue="1">
      <formula>1</formula>
    </cfRule>
  </conditionalFormatting>
  <conditionalFormatting sqref="Q48">
    <cfRule type="cellIs" priority="16" dxfId="0" operator="lessThan" stopIfTrue="1">
      <formula>1</formula>
    </cfRule>
  </conditionalFormatting>
  <conditionalFormatting sqref="Q50">
    <cfRule type="cellIs" priority="14" dxfId="0" operator="lessThan" stopIfTrue="1">
      <formula>1</formula>
    </cfRule>
  </conditionalFormatting>
  <conditionalFormatting sqref="Q52">
    <cfRule type="cellIs" priority="11" dxfId="0" operator="lessThan" stopIfTrue="1">
      <formula>1</formula>
    </cfRule>
  </conditionalFormatting>
  <conditionalFormatting sqref="Q51">
    <cfRule type="cellIs" priority="10" dxfId="0" operator="lessThan" stopIfTrue="1">
      <formula>1</formula>
    </cfRule>
  </conditionalFormatting>
  <conditionalFormatting sqref="Q55">
    <cfRule type="cellIs" priority="8" dxfId="0" operator="lessThan" stopIfTrue="1">
      <formula>1</formula>
    </cfRule>
  </conditionalFormatting>
  <conditionalFormatting sqref="Q54">
    <cfRule type="cellIs" priority="6" dxfId="0" operator="lessThan" stopIfTrue="1">
      <formula>1</formula>
    </cfRule>
  </conditionalFormatting>
  <conditionalFormatting sqref="Q56">
    <cfRule type="cellIs" priority="4" dxfId="0" operator="lessThan" stopIfTrue="1">
      <formula>1</formula>
    </cfRule>
  </conditionalFormatting>
  <conditionalFormatting sqref="Q58">
    <cfRule type="cellIs" priority="1" dxfId="0" operator="lessThan" stopIfTrue="1">
      <formula>1</formula>
    </cfRule>
  </conditionalFormatting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portrait" paperSize="9" r:id="rId1"/>
  <headerFooter alignWithMargins="0">
    <oddFooter>&amp;R&amp;6&amp;D; &amp;F;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60"/>
  <sheetViews>
    <sheetView showGridLines="0" zoomScalePageLayoutView="0" workbookViewId="0" topLeftCell="B21">
      <selection activeCell="Y33" sqref="Y33"/>
    </sheetView>
  </sheetViews>
  <sheetFormatPr defaultColWidth="11.421875" defaultRowHeight="12.75" outlineLevelRow="1" outlineLevelCol="1"/>
  <cols>
    <col min="1" max="1" width="4.7109375" style="33" hidden="1" customWidth="1" outlineLevel="1"/>
    <col min="2" max="2" width="2.00390625" style="3" customWidth="1" collapsed="1"/>
    <col min="3" max="3" width="6.8515625" style="3" customWidth="1"/>
    <col min="4" max="4" width="24.7109375" style="3" customWidth="1"/>
    <col min="5" max="5" width="4.00390625" style="3" customWidth="1"/>
    <col min="6" max="6" width="1.7109375" style="3" customWidth="1"/>
    <col min="7" max="8" width="4.00390625" style="3" customWidth="1"/>
    <col min="9" max="9" width="1.7109375" style="3" customWidth="1"/>
    <col min="10" max="11" width="4.00390625" style="3" customWidth="1"/>
    <col min="12" max="12" width="1.7109375" style="3" customWidth="1"/>
    <col min="13" max="14" width="4.00390625" style="3" customWidth="1"/>
    <col min="15" max="15" width="1.7109375" style="3" customWidth="1"/>
    <col min="16" max="17" width="4.00390625" style="3" customWidth="1"/>
    <col min="18" max="18" width="1.7109375" style="3" customWidth="1"/>
    <col min="19" max="20" width="4.00390625" style="3" customWidth="1"/>
    <col min="21" max="21" width="1.7109375" style="3" customWidth="1"/>
    <col min="22" max="22" width="4.00390625" style="3" customWidth="1"/>
    <col min="23" max="23" width="4.7109375" style="3" customWidth="1"/>
    <col min="24" max="24" width="6.57421875" style="3" hidden="1" customWidth="1"/>
    <col min="25" max="25" width="4.00390625" style="3" customWidth="1"/>
    <col min="26" max="26" width="4.8515625" style="3" customWidth="1"/>
    <col min="27" max="27" width="1.7109375" style="3" customWidth="1"/>
    <col min="28" max="29" width="4.00390625" style="3" customWidth="1"/>
    <col min="30" max="30" width="1.7109375" style="3" customWidth="1"/>
    <col min="31" max="31" width="4.00390625" style="3" customWidth="1"/>
    <col min="32" max="16384" width="11.421875" style="3" customWidth="1"/>
  </cols>
  <sheetData>
    <row r="1" spans="2:23" ht="24.75" customHeight="1">
      <c r="B1" s="65"/>
      <c r="C1" s="60" t="str">
        <f>+Daten!A1&amp;" "&amp;Daten!B1&amp;" "&amp;Daten!I1</f>
        <v>52. Deutsche Prellball Meisterschaften der Jugend 2015</v>
      </c>
      <c r="D1" s="66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3" ht="21.75" customHeight="1">
      <c r="C2" s="67" t="s">
        <v>19</v>
      </c>
      <c r="D2" s="68"/>
      <c r="E2" s="69"/>
      <c r="F2" s="70"/>
      <c r="G2" s="69"/>
      <c r="H2" s="71"/>
      <c r="I2" s="71"/>
      <c r="J2" s="71"/>
      <c r="K2" s="71"/>
      <c r="L2" s="71"/>
      <c r="M2" s="71"/>
      <c r="N2" s="71"/>
      <c r="O2" s="71"/>
      <c r="P2" s="67" t="str">
        <f>+Daten!I4</f>
        <v>männl. Jugend 11-14</v>
      </c>
      <c r="Q2" s="73"/>
      <c r="R2" s="73"/>
      <c r="S2" s="72"/>
      <c r="T2" s="73"/>
      <c r="U2" s="73"/>
      <c r="V2" s="73"/>
      <c r="W2" s="68"/>
    </row>
    <row r="3" spans="1:23" ht="6.75" customHeight="1">
      <c r="A3" s="33" t="s">
        <v>16</v>
      </c>
      <c r="B3" s="134" t="s">
        <v>16</v>
      </c>
      <c r="C3" s="74"/>
      <c r="D3" s="71"/>
      <c r="E3" s="76"/>
      <c r="F3" s="75">
        <v>1</v>
      </c>
      <c r="G3" s="76"/>
      <c r="H3" s="77"/>
      <c r="I3" s="77">
        <v>2</v>
      </c>
      <c r="J3" s="77"/>
      <c r="K3" s="77"/>
      <c r="L3" s="77">
        <v>3</v>
      </c>
      <c r="M3" s="77"/>
      <c r="N3" s="77"/>
      <c r="O3" s="77">
        <v>4</v>
      </c>
      <c r="P3" s="77"/>
      <c r="Q3" s="77"/>
      <c r="R3" s="77">
        <v>5</v>
      </c>
      <c r="S3" s="171"/>
      <c r="T3" s="71"/>
      <c r="U3" s="71"/>
      <c r="V3" s="71"/>
      <c r="W3" s="71"/>
    </row>
    <row r="4" spans="3:30" ht="12.75" customHeight="1">
      <c r="C4" s="78"/>
      <c r="D4" s="79" t="str">
        <f>+Daten!I5</f>
        <v>Gruppe C</v>
      </c>
      <c r="E4" s="172"/>
      <c r="F4" s="81" t="str">
        <f>+D5</f>
        <v>TSV Ohorn</v>
      </c>
      <c r="G4" s="82"/>
      <c r="H4" s="83"/>
      <c r="I4" s="81" t="str">
        <f>+D7</f>
        <v>MTV Eiche Schönebeck</v>
      </c>
      <c r="J4" s="84"/>
      <c r="K4" s="83"/>
      <c r="L4" s="81" t="str">
        <f>+D9</f>
        <v>Kölner TB</v>
      </c>
      <c r="M4" s="84"/>
      <c r="N4" s="83"/>
      <c r="O4" s="81" t="str">
        <f>+D11</f>
        <v>PV Gundernhausen</v>
      </c>
      <c r="P4" s="84"/>
      <c r="Q4" s="83"/>
      <c r="R4" s="81" t="str">
        <f>+D13</f>
        <v>VfL Waiblingen</v>
      </c>
      <c r="S4" s="84"/>
      <c r="T4" s="85"/>
      <c r="U4" s="86" t="s">
        <v>20</v>
      </c>
      <c r="V4" s="87"/>
      <c r="W4" s="88" t="s">
        <v>21</v>
      </c>
      <c r="AD4" s="89"/>
    </row>
    <row r="5" spans="1:29" ht="15" customHeight="1">
      <c r="A5" s="33">
        <v>1</v>
      </c>
      <c r="C5" s="90" t="str">
        <f>IF(Daten!H6="","",Daten!H6)</f>
        <v>SC</v>
      </c>
      <c r="D5" s="91" t="str">
        <f>IF(Daten!I6="","",Daten!I6)</f>
        <v>TSV Ohorn</v>
      </c>
      <c r="E5" s="92"/>
      <c r="F5" s="93"/>
      <c r="G5" s="94"/>
      <c r="H5" s="95">
        <f>IF(ISERROR(VLOOKUP($A$3&amp;TEXT($A5,"00")&amp;TEXT(I$3,"00"),Samstag!$A$24:$Y$205,16,FALSE)),"",VLOOKUP($A$3&amp;TEXT($A5,"00")&amp;TEXT(I$3,"00"),Samstag!$A$24:$Y$205,16,FALSE))</f>
        <v>29</v>
      </c>
      <c r="I5" s="96" t="s">
        <v>22</v>
      </c>
      <c r="J5" s="97">
        <f>IF(ISERROR(VLOOKUP($A$3&amp;TEXT($A5,"00")&amp;TEXT(I$3,"00"),Samstag!$A$24:$Y$205,18,FALSE)),"",VLOOKUP($A$3&amp;TEXT($A5,"00")&amp;TEXT(I$3,"00"),Samstag!$A$24:$Y$205,18,FALSE))</f>
        <v>40</v>
      </c>
      <c r="K5" s="95">
        <f>IF(ISERROR(VLOOKUP($A$3&amp;TEXT($A5,"00")&amp;TEXT(L$3,"00"),Samstag!$A$24:$Y$205,16,FALSE)),"",VLOOKUP($A$3&amp;TEXT($A5,"00")&amp;TEXT(L$3,"00"),Samstag!$A$24:$Y$205,16,FALSE))</f>
        <v>36</v>
      </c>
      <c r="L5" s="96" t="s">
        <v>22</v>
      </c>
      <c r="M5" s="97">
        <f>IF(ISERROR(VLOOKUP($A$3&amp;TEXT($A5,"00")&amp;TEXT(L$3,"00"),Samstag!$A$24:$Y$205,18,FALSE)),"",VLOOKUP($A$3&amp;TEXT($A5,"00")&amp;TEXT(L$3,"00"),Samstag!$A$24:$Y$205,18,FALSE))</f>
        <v>23</v>
      </c>
      <c r="N5" s="95">
        <f>IF(ISERROR(VLOOKUP($A$3&amp;TEXT($A5,"00")&amp;TEXT(O$3,"00"),Samstag!$A$24:$Y$205,16,FALSE)),"",VLOOKUP($A$3&amp;TEXT($A5,"00")&amp;TEXT(O$3,"00"),Samstag!$A$24:$Y$205,16,FALSE))</f>
        <v>25</v>
      </c>
      <c r="O5" s="96" t="s">
        <v>22</v>
      </c>
      <c r="P5" s="97">
        <f>IF(ISERROR(VLOOKUP($A$3&amp;TEXT($A5,"00")&amp;TEXT(O$3,"00"),Samstag!$A$24:$Y$205,18,FALSE)),"",VLOOKUP($A$3&amp;TEXT($A5,"00")&amp;TEXT(O$3,"00"),Samstag!$A$24:$Y$205,18,FALSE))</f>
        <v>39</v>
      </c>
      <c r="Q5" s="95">
        <f>IF(ISERROR(VLOOKUP($A$3&amp;TEXT($A5,"00")&amp;TEXT(R$3,"00"),Samstag!$A$24:$Y$205,16,FALSE)),"",VLOOKUP($A$3&amp;TEXT($A5,"00")&amp;TEXT(R$3,"00"),Samstag!$A$24:$Y$205,16,FALSE))</f>
        <v>31</v>
      </c>
      <c r="R5" s="96" t="s">
        <v>22</v>
      </c>
      <c r="S5" s="97">
        <f>IF(ISERROR(VLOOKUP($A$3&amp;TEXT($A5,"00")&amp;TEXT(R$3,"00"),Samstag!$A$24:$Y$205,18,FALSE)),"",VLOOKUP($A$3&amp;TEXT($A5,"00")&amp;TEXT(R$3,"00"),Samstag!$A$24:$Y$205,18,FALSE))</f>
        <v>43</v>
      </c>
      <c r="T5" s="98">
        <f>IF(Y6="","",SUM(E5,H5,K5,N5,Q5))</f>
        <v>121</v>
      </c>
      <c r="U5" s="96" t="s">
        <v>22</v>
      </c>
      <c r="V5" s="99">
        <f>IF(Y6="","",SUM(G5,J5,M5,P5,S5))</f>
        <v>145</v>
      </c>
      <c r="W5" s="100">
        <f>IF(Y5="","",RANK(X6,($X$6,$X$8,$X$10,$X$12,$X$14),0))</f>
        <v>4</v>
      </c>
      <c r="Y5" s="101" t="s">
        <v>197</v>
      </c>
      <c r="AB5" s="3">
        <v>1</v>
      </c>
      <c r="AC5" s="173" t="str">
        <f>IF(W5="","",IF($W$5=1,$D$5,IF($W$7=1,$D$7,IF($W$9=1,$D$9,IF($W$11=1,$D$11,IF($W$13=1,$D$13,0))))))</f>
        <v>VfL Waiblingen</v>
      </c>
    </row>
    <row r="6" spans="3:29" ht="10.5" customHeight="1">
      <c r="C6" s="103"/>
      <c r="D6" s="104"/>
      <c r="E6" s="105"/>
      <c r="F6" s="106"/>
      <c r="G6" s="107"/>
      <c r="H6" s="108">
        <f>IF(H5=0,"",IF(H5&gt;J5,2,IF(H5&lt;J5,0,1)))</f>
        <v>0</v>
      </c>
      <c r="I6" s="52" t="s">
        <v>23</v>
      </c>
      <c r="J6" s="109">
        <f>IF(J5=0,"",IF(J5&gt;H5,2,IF(J5&lt;H5,0,1)))</f>
        <v>2</v>
      </c>
      <c r="K6" s="108">
        <f>IF(K5=0,"",IF(K5&gt;M5,2,IF(K5&lt;M5,0,1)))</f>
        <v>2</v>
      </c>
      <c r="L6" s="52" t="s">
        <v>23</v>
      </c>
      <c r="M6" s="109">
        <f>IF(M5=0,"",IF(M5&gt;K5,2,IF(M5&lt;K5,0,1)))</f>
        <v>0</v>
      </c>
      <c r="N6" s="108">
        <f>IF(N5=0,"",IF(N5&gt;P5,2,IF(N5&lt;P5,0,1)))</f>
        <v>0</v>
      </c>
      <c r="O6" s="52" t="s">
        <v>23</v>
      </c>
      <c r="P6" s="109">
        <f>IF(P5=0,"",IF(P5&gt;N5,2,IF(P5&lt;N5,0,1)))</f>
        <v>2</v>
      </c>
      <c r="Q6" s="108">
        <f>IF(Q5=0,"",IF(Q5&gt;S5,2,IF(Q5&lt;S5,0,1)))</f>
        <v>0</v>
      </c>
      <c r="R6" s="52" t="s">
        <v>23</v>
      </c>
      <c r="S6" s="109">
        <f>IF(S5=0,"",IF(S5&gt;Q5,2,IF(S5&lt;Q5,0,1)))</f>
        <v>2</v>
      </c>
      <c r="T6" s="108">
        <f>IF(Y6="","",SUM(E6,H6,K6,N6,Q6))</f>
        <v>2</v>
      </c>
      <c r="U6" s="52" t="s">
        <v>23</v>
      </c>
      <c r="V6" s="109">
        <f>IF(Y6="","",SUM(G6,J6,M6,P6,S6))</f>
        <v>6</v>
      </c>
      <c r="W6" s="110"/>
      <c r="X6" s="111">
        <f>+(T6-V6)+T5/V5+T6</f>
        <v>-1.1655172413793102</v>
      </c>
      <c r="Y6" s="101" t="s">
        <v>197</v>
      </c>
      <c r="AC6" s="173"/>
    </row>
    <row r="7" spans="1:29" ht="15" customHeight="1">
      <c r="A7" s="33">
        <v>2</v>
      </c>
      <c r="C7" s="90" t="str">
        <f>IF(Daten!H7="","",Daten!H7)</f>
        <v>BR</v>
      </c>
      <c r="D7" s="91" t="str">
        <f>IF(Daten!I7="","",Daten!I7)</f>
        <v>MTV Eiche Schönebeck</v>
      </c>
      <c r="E7" s="95">
        <f>IF(J5=0,"",J5)</f>
        <v>40</v>
      </c>
      <c r="F7" s="96" t="s">
        <v>22</v>
      </c>
      <c r="G7" s="97">
        <f>IF(H5=0,"",H5)</f>
        <v>29</v>
      </c>
      <c r="H7" s="92"/>
      <c r="I7" s="93"/>
      <c r="J7" s="94"/>
      <c r="K7" s="95">
        <f>IF(ISERROR(VLOOKUP($A$3&amp;TEXT($A7,"00")&amp;TEXT(L$3,"00"),Samstag!$A$24:$Y$205,16,FALSE)),"",VLOOKUP($A$3&amp;TEXT($A7,"00")&amp;TEXT(L$3,"00"),Samstag!$A$24:$Y$205,16,FALSE))</f>
        <v>35</v>
      </c>
      <c r="L7" s="96" t="s">
        <v>22</v>
      </c>
      <c r="M7" s="97">
        <f>IF(ISERROR(VLOOKUP($A$3&amp;TEXT($A7,"00")&amp;TEXT(L$3,"00"),Samstag!$A$24:$Y$205,18,FALSE)),"",VLOOKUP($A$3&amp;TEXT($A7,"00")&amp;TEXT(L$3,"00"),Samstag!$A$24:$Y$205,18,FALSE))</f>
        <v>23</v>
      </c>
      <c r="N7" s="95">
        <f>IF(ISERROR(VLOOKUP($A$3&amp;TEXT($A7,"00")&amp;TEXT(O$3,"00"),Samstag!$A$24:$Y$205,16,FALSE)),"",VLOOKUP($A$3&amp;TEXT($A7,"00")&amp;TEXT(O$3,"00"),Samstag!$A$24:$Y$205,16,FALSE))</f>
        <v>33</v>
      </c>
      <c r="O7" s="96" t="s">
        <v>22</v>
      </c>
      <c r="P7" s="97">
        <f>IF(ISERROR(VLOOKUP($A$3&amp;TEXT($A7,"00")&amp;TEXT(O$3,"00"),Samstag!$A$24:$Y$205,18,FALSE)),"",VLOOKUP($A$3&amp;TEXT($A7,"00")&amp;TEXT(O$3,"00"),Samstag!$A$24:$Y$205,18,FALSE))</f>
        <v>32</v>
      </c>
      <c r="Q7" s="95">
        <f>IF(ISERROR(VLOOKUP($A$3&amp;TEXT($A7,"00")&amp;TEXT(R$3,"00"),Samstag!$A$24:$Y$205,16,FALSE)),"",VLOOKUP($A$3&amp;TEXT($A7,"00")&amp;TEXT(R$3,"00"),Samstag!$A$24:$Y$205,16,FALSE))</f>
        <v>25</v>
      </c>
      <c r="R7" s="96" t="s">
        <v>22</v>
      </c>
      <c r="S7" s="97">
        <f>IF(ISERROR(VLOOKUP($A$3&amp;TEXT($A7,"00")&amp;TEXT(R$3,"00"),Samstag!$A$24:$Y$205,18,FALSE)),"",VLOOKUP($A$3&amp;TEXT($A7,"00")&amp;TEXT(R$3,"00"),Samstag!$A$24:$Y$205,18,FALSE))</f>
        <v>38</v>
      </c>
      <c r="T7" s="98">
        <f>IF(Y8="","",SUM(E7,H7,K7,N7,Q7))</f>
        <v>133</v>
      </c>
      <c r="U7" s="96" t="s">
        <v>22</v>
      </c>
      <c r="V7" s="99">
        <f>IF(Y8="","",SUM(G7,J7,M7,P7,S7))</f>
        <v>122</v>
      </c>
      <c r="W7" s="112">
        <f>IF(Y7="","",RANK(X8,($X$6,$X$8,$X$10,$X$12,$X$14),0))</f>
        <v>3</v>
      </c>
      <c r="Y7" s="101" t="s">
        <v>197</v>
      </c>
      <c r="AB7" s="3">
        <v>2</v>
      </c>
      <c r="AC7" s="173" t="str">
        <f>IF(W7="","",IF($W$5=2,$D$5,IF($W$7=2,$D$7,IF($W$9=2,$D$9,IF($W$11=2,$D$11,IF($W$13=2,$D$13,0))))))</f>
        <v>PV Gundernhausen</v>
      </c>
    </row>
    <row r="8" spans="3:29" ht="10.5" customHeight="1">
      <c r="C8" s="103"/>
      <c r="D8" s="104"/>
      <c r="E8" s="108">
        <f>IF(E7="","",IF(E7&gt;G7,2,IF(E7&lt;G7,0,1)))</f>
        <v>2</v>
      </c>
      <c r="F8" s="52" t="s">
        <v>23</v>
      </c>
      <c r="G8" s="109">
        <f>IF(G7="","",IF(G7&gt;E7,2,IF(G7&lt;E7,0,1)))</f>
        <v>0</v>
      </c>
      <c r="H8" s="105"/>
      <c r="I8" s="106"/>
      <c r="J8" s="107"/>
      <c r="K8" s="108">
        <f>IF(K7=0,"",IF(K7&gt;M7,2,IF(K7&lt;M7,0,1)))</f>
        <v>2</v>
      </c>
      <c r="L8" s="52" t="s">
        <v>23</v>
      </c>
      <c r="M8" s="109">
        <f>IF(M7=0,"",IF(M7&gt;K7,2,IF(M7&lt;K7,0,1)))</f>
        <v>0</v>
      </c>
      <c r="N8" s="108">
        <f>IF(N7=0,"",IF(N7&gt;P7,2,IF(N7&lt;P7,0,1)))</f>
        <v>2</v>
      </c>
      <c r="O8" s="52" t="s">
        <v>23</v>
      </c>
      <c r="P8" s="109">
        <f>IF(P7=0,"",IF(P7&gt;N7,2,IF(P7&lt;N7,0,1)))</f>
        <v>0</v>
      </c>
      <c r="Q8" s="108">
        <f>IF(Q7=0,"",IF(Q7&gt;S7,2,IF(Q7&lt;S7,0,1)))</f>
        <v>0</v>
      </c>
      <c r="R8" s="52" t="s">
        <v>23</v>
      </c>
      <c r="S8" s="109">
        <f>IF(S7=0,"",IF(S7&gt;Q7,2,IF(S7&lt;Q7,0,1)))</f>
        <v>2</v>
      </c>
      <c r="T8" s="108">
        <f>IF(Y8="","",SUM(E8,H8,K8,N8,Q8))</f>
        <v>6</v>
      </c>
      <c r="U8" s="52" t="s">
        <v>23</v>
      </c>
      <c r="V8" s="109">
        <f>IF(Y8="","",SUM(G8,J8,M8,P8,S8))</f>
        <v>2</v>
      </c>
      <c r="W8" s="110"/>
      <c r="X8" s="111">
        <f>+(T8-V8)+T7/V7+T8</f>
        <v>11.09016393442623</v>
      </c>
      <c r="Y8" s="101" t="s">
        <v>197</v>
      </c>
      <c r="AC8" s="173"/>
    </row>
    <row r="9" spans="1:29" ht="15" customHeight="1">
      <c r="A9" s="33">
        <v>3</v>
      </c>
      <c r="C9" s="90" t="str">
        <f>IF(Daten!H8="","",Daten!H8)</f>
        <v>RL</v>
      </c>
      <c r="D9" s="91" t="str">
        <f>IF(Daten!I8="","",Daten!I8)</f>
        <v>Kölner TB</v>
      </c>
      <c r="E9" s="98">
        <f>IF(M5=0,"",M5)</f>
        <v>23</v>
      </c>
      <c r="F9" s="96" t="s">
        <v>22</v>
      </c>
      <c r="G9" s="99">
        <f>IF(K5=0,"",K5)</f>
        <v>36</v>
      </c>
      <c r="H9" s="95">
        <f>IF(M7=0,"",M7)</f>
        <v>23</v>
      </c>
      <c r="I9" s="96" t="s">
        <v>22</v>
      </c>
      <c r="J9" s="97">
        <f>IF(K7=0,"",K7)</f>
        <v>35</v>
      </c>
      <c r="K9" s="92"/>
      <c r="L9" s="93"/>
      <c r="M9" s="94"/>
      <c r="N9" s="95">
        <f>IF(ISERROR(VLOOKUP($A$3&amp;TEXT($A9,"00")&amp;TEXT(O$3,"00"),Samstag!$A$24:$Y$205,16,FALSE)),"",VLOOKUP($A$3&amp;TEXT($A9,"00")&amp;TEXT(O$3,"00"),Samstag!$A$24:$Y$205,16,FALSE))</f>
        <v>22</v>
      </c>
      <c r="O9" s="96" t="s">
        <v>22</v>
      </c>
      <c r="P9" s="97">
        <f>IF(ISERROR(VLOOKUP($A$3&amp;TEXT($A9,"00")&amp;TEXT(O$3,"00"),Samstag!$A$24:$Y$205,18,FALSE)),"",VLOOKUP($A$3&amp;TEXT($A9,"00")&amp;TEXT(O$3,"00"),Samstag!$A$24:$Y$205,18,FALSE))</f>
        <v>37</v>
      </c>
      <c r="Q9" s="95">
        <f>IF(ISERROR(VLOOKUP($A$3&amp;TEXT($A9,"00")&amp;TEXT(R$3,"00"),Samstag!$A$24:$Y$205,16,FALSE)),"",VLOOKUP($A$3&amp;TEXT($A9,"00")&amp;TEXT(R$3,"00"),Samstag!$A$24:$Y$205,16,FALSE))</f>
        <v>21</v>
      </c>
      <c r="R9" s="96" t="s">
        <v>22</v>
      </c>
      <c r="S9" s="97">
        <f>IF(ISERROR(VLOOKUP($A$3&amp;TEXT($A9,"00")&amp;TEXT(R$3,"00"),Samstag!$A$24:$Y$205,18,FALSE)),"",VLOOKUP($A$3&amp;TEXT($A9,"00")&amp;TEXT(R$3,"00"),Samstag!$A$24:$Y$205,18,FALSE))</f>
        <v>43</v>
      </c>
      <c r="T9" s="98">
        <f>IF(Y10="","",SUM(E9,H9,K9,N9,Q9))</f>
        <v>89</v>
      </c>
      <c r="U9" s="96" t="s">
        <v>22</v>
      </c>
      <c r="V9" s="99">
        <f>IF(Y10="","",SUM(G9,J9,M9,P9,S9))</f>
        <v>151</v>
      </c>
      <c r="W9" s="112">
        <f>IF(Y9="","",RANK(X10,($X$6,$X$8,$X$10,$X$12,$X$14),0))</f>
        <v>5</v>
      </c>
      <c r="Y9" s="101" t="s">
        <v>197</v>
      </c>
      <c r="AB9" s="3">
        <v>3</v>
      </c>
      <c r="AC9" s="173" t="str">
        <f>IF(W9="","",IF($W$5=3,$D$5,IF($W$7=3,$D$7,IF($W$9=3,$D$9,IF($W$11=3,$D$11,IF($W$13=3,$D$13,0))))))</f>
        <v>MTV Eiche Schönebeck</v>
      </c>
    </row>
    <row r="10" spans="3:29" ht="10.5" customHeight="1">
      <c r="C10" s="113"/>
      <c r="D10" s="104"/>
      <c r="E10" s="108">
        <f>IF(E9="","",IF(E9&gt;G9,2,IF(E9&lt;G9,0,1)))</f>
        <v>0</v>
      </c>
      <c r="F10" s="52" t="s">
        <v>23</v>
      </c>
      <c r="G10" s="109">
        <f>IF(G9="","",IF(G9&gt;E9,2,IF(G9&lt;E9,0,1)))</f>
        <v>2</v>
      </c>
      <c r="H10" s="108">
        <f>IF(H9="","",IF(H9&gt;J9,2,IF(H9&lt;J9,0,1)))</f>
        <v>0</v>
      </c>
      <c r="I10" s="52" t="s">
        <v>23</v>
      </c>
      <c r="J10" s="109">
        <f>IF(J9="","",IF(J9&gt;H9,2,IF(J9&lt;H9,0,1)))</f>
        <v>2</v>
      </c>
      <c r="K10" s="105"/>
      <c r="L10" s="106"/>
      <c r="M10" s="107"/>
      <c r="N10" s="108">
        <f>IF(N9=0,"",IF(N9&gt;P9,2,IF(N9&lt;P9,0,1)))</f>
        <v>0</v>
      </c>
      <c r="O10" s="52" t="s">
        <v>23</v>
      </c>
      <c r="P10" s="109">
        <f>IF(P9=0,"",IF(P9&gt;N9,2,IF(P9&lt;N9,0,1)))</f>
        <v>2</v>
      </c>
      <c r="Q10" s="108">
        <f>IF(Q9=0,"",IF(Q9&gt;S9,2,IF(Q9&lt;S9,0,1)))</f>
        <v>0</v>
      </c>
      <c r="R10" s="52" t="s">
        <v>23</v>
      </c>
      <c r="S10" s="109">
        <f>IF(S9=0,"",IF(S9&gt;Q9,2,IF(S9&lt;Q9,0,1)))</f>
        <v>2</v>
      </c>
      <c r="T10" s="108">
        <f>IF(Y10="","",SUM(E10,H10,K10,N10,Q10))</f>
        <v>0</v>
      </c>
      <c r="U10" s="52" t="s">
        <v>23</v>
      </c>
      <c r="V10" s="109">
        <f>IF(Y10="","",SUM(G10,J10,M10,P10,S10))</f>
        <v>8</v>
      </c>
      <c r="W10" s="110"/>
      <c r="X10" s="111">
        <f>+(T10-V10)+T9/V9+T10</f>
        <v>-7.410596026490066</v>
      </c>
      <c r="Y10" s="101" t="s">
        <v>197</v>
      </c>
      <c r="AC10" s="173"/>
    </row>
    <row r="11" spans="1:29" ht="15" customHeight="1">
      <c r="A11" s="33">
        <v>4</v>
      </c>
      <c r="C11" s="90" t="str">
        <f>IF(Daten!H9="","",Daten!H9)</f>
        <v>HE</v>
      </c>
      <c r="D11" s="91" t="str">
        <f>IF(Daten!I9="","",Daten!I9)</f>
        <v>PV Gundernhausen</v>
      </c>
      <c r="E11" s="98">
        <f>IF(P5=0,"",P5)</f>
        <v>39</v>
      </c>
      <c r="F11" s="96" t="s">
        <v>22</v>
      </c>
      <c r="G11" s="99">
        <f>IF(N5=0,"",N5)</f>
        <v>25</v>
      </c>
      <c r="H11" s="98">
        <f>IF(P7=0,"",P7)</f>
        <v>32</v>
      </c>
      <c r="I11" s="96" t="s">
        <v>22</v>
      </c>
      <c r="J11" s="99">
        <f>IF(N7=0,"",N7)</f>
        <v>33</v>
      </c>
      <c r="K11" s="95">
        <f>IF(P9=0,"",P9)</f>
        <v>37</v>
      </c>
      <c r="L11" s="96" t="s">
        <v>22</v>
      </c>
      <c r="M11" s="97">
        <f>IF(N9=0,"",N9)</f>
        <v>22</v>
      </c>
      <c r="N11" s="92"/>
      <c r="O11" s="93"/>
      <c r="P11" s="94"/>
      <c r="Q11" s="95">
        <f>IF(ISERROR(VLOOKUP($A$3&amp;TEXT($A11,"00")&amp;TEXT(R$3,"00"),Samstag!$A$24:$Y$205,16,FALSE)),"",VLOOKUP($A$3&amp;TEXT($A11,"00")&amp;TEXT(R$3,"00"),Samstag!$A$24:$Y$205,16,FALSE))</f>
        <v>35</v>
      </c>
      <c r="R11" s="96" t="s">
        <v>22</v>
      </c>
      <c r="S11" s="97">
        <f>IF(ISERROR(VLOOKUP($A$3&amp;TEXT($A11,"00")&amp;TEXT(R$3,"00"),Samstag!$A$24:$Y$205,18,FALSE)),"",VLOOKUP($A$3&amp;TEXT($A11,"00")&amp;TEXT(R$3,"00"),Samstag!$A$24:$Y$205,18,FALSE))</f>
        <v>34</v>
      </c>
      <c r="T11" s="98">
        <f>IF(Y12="","",SUM(E11,H11,K11,N11,Q11))</f>
        <v>143</v>
      </c>
      <c r="U11" s="96" t="s">
        <v>22</v>
      </c>
      <c r="V11" s="99">
        <f>IF(Y12="","",SUM(G11,J11,M11,P11,S11))</f>
        <v>114</v>
      </c>
      <c r="W11" s="112">
        <f>IF(Y11="","",RANK(X12,($X$6,$X$8,$X$10,$X$12,$X$14),0))</f>
        <v>2</v>
      </c>
      <c r="Y11" s="101" t="s">
        <v>197</v>
      </c>
      <c r="AB11" s="3">
        <v>4</v>
      </c>
      <c r="AC11" s="173" t="str">
        <f>IF(W11="","",IF($W$5=4,$D$5,IF($W$7=4,$D$7,IF($W$9=4,$D$9,IF($W$11=4,$D$11,IF($W$13=4,$D$13,0))))))</f>
        <v>TSV Ohorn</v>
      </c>
    </row>
    <row r="12" spans="3:29" ht="10.5" customHeight="1">
      <c r="C12" s="113"/>
      <c r="D12" s="104"/>
      <c r="E12" s="108">
        <f>IF(E11="","",IF(E11&gt;G11,2,IF(E11&lt;G11,0,1)))</f>
        <v>2</v>
      </c>
      <c r="F12" s="52" t="s">
        <v>23</v>
      </c>
      <c r="G12" s="109">
        <f>IF(G11="","",IF(G11&gt;E11,2,IF(G11&lt;E11,0,1)))</f>
        <v>0</v>
      </c>
      <c r="H12" s="108">
        <f>IF(H11="","",IF(H11&gt;J11,2,IF(H11&lt;J11,0,1)))</f>
        <v>0</v>
      </c>
      <c r="I12" s="52" t="s">
        <v>23</v>
      </c>
      <c r="J12" s="109">
        <f>IF(J11="","",IF(J11&gt;H11,2,IF(J11&lt;H11,0,1)))</f>
        <v>2</v>
      </c>
      <c r="K12" s="108">
        <f>IF(K11="","",IF(K11&gt;M11,2,IF(K11&lt;M11,0,1)))</f>
        <v>2</v>
      </c>
      <c r="L12" s="52" t="s">
        <v>23</v>
      </c>
      <c r="M12" s="109">
        <f>IF(M11="","",IF(M11&gt;K11,2,IF(M11&lt;K11,0,1)))</f>
        <v>0</v>
      </c>
      <c r="N12" s="105"/>
      <c r="O12" s="106"/>
      <c r="P12" s="107"/>
      <c r="Q12" s="108">
        <f>IF(Q11=0,"",IF(Q11&gt;S11,2,IF(Q11&lt;S11,0,1)))</f>
        <v>2</v>
      </c>
      <c r="R12" s="52" t="s">
        <v>23</v>
      </c>
      <c r="S12" s="109">
        <f>IF(S11=0,"",IF(S11&gt;Q11,2,IF(S11&lt;Q11,0,1)))</f>
        <v>0</v>
      </c>
      <c r="T12" s="108">
        <f>IF(Y12="","",SUM(E12,H12,K12,N12,Q12))</f>
        <v>6</v>
      </c>
      <c r="U12" s="52" t="s">
        <v>23</v>
      </c>
      <c r="V12" s="109">
        <f>IF(Y12="","",SUM(G12,J12,M12,P12,S12))</f>
        <v>2</v>
      </c>
      <c r="W12" s="110"/>
      <c r="X12" s="111">
        <f>+(T12-V12)+T11/V11+T12</f>
        <v>11.25438596491228</v>
      </c>
      <c r="Y12" s="101" t="s">
        <v>197</v>
      </c>
      <c r="AC12" s="173"/>
    </row>
    <row r="13" spans="1:29" ht="15" customHeight="1">
      <c r="A13" s="33">
        <v>5</v>
      </c>
      <c r="C13" s="90" t="str">
        <f>IF(Daten!H10="","",Daten!H10)</f>
        <v>SW</v>
      </c>
      <c r="D13" s="91" t="str">
        <f>IF(Daten!I10="","",Daten!I10)</f>
        <v>VfL Waiblingen</v>
      </c>
      <c r="E13" s="98">
        <f>IF(S5=0,"",S5)</f>
        <v>43</v>
      </c>
      <c r="F13" s="96" t="s">
        <v>22</v>
      </c>
      <c r="G13" s="99">
        <f>IF(Q5=0,"",Q5)</f>
        <v>31</v>
      </c>
      <c r="H13" s="98">
        <f>IF(S7=0,"",S7)</f>
        <v>38</v>
      </c>
      <c r="I13" s="96" t="s">
        <v>22</v>
      </c>
      <c r="J13" s="99">
        <f>IF(Q7=0,"",Q7)</f>
        <v>25</v>
      </c>
      <c r="K13" s="98">
        <f>IF(S9=0,"",S9)</f>
        <v>43</v>
      </c>
      <c r="L13" s="96" t="s">
        <v>22</v>
      </c>
      <c r="M13" s="99">
        <f>IF(Q9=0,"",Q9)</f>
        <v>21</v>
      </c>
      <c r="N13" s="95">
        <f>IF(S11=0,"",S11)</f>
        <v>34</v>
      </c>
      <c r="O13" s="96" t="s">
        <v>22</v>
      </c>
      <c r="P13" s="97">
        <f>IF(Q11=0,"",Q11)</f>
        <v>35</v>
      </c>
      <c r="Q13" s="92"/>
      <c r="R13" s="93"/>
      <c r="S13" s="94"/>
      <c r="T13" s="98">
        <f>IF(Y14="","",SUM(E13,H13,K13,N13,Q13))</f>
        <v>158</v>
      </c>
      <c r="U13" s="96" t="s">
        <v>22</v>
      </c>
      <c r="V13" s="99">
        <f>IF(Y14="","",SUM(G13,J13,M13,P13,S13))</f>
        <v>112</v>
      </c>
      <c r="W13" s="112">
        <f>IF(Y13="","",RANK(X14,($X$6,$X$8,$X$10,$X$12,$X$14),0))</f>
        <v>1</v>
      </c>
      <c r="Y13" s="101" t="s">
        <v>197</v>
      </c>
      <c r="AB13" s="3">
        <v>5</v>
      </c>
      <c r="AC13" s="173" t="str">
        <f>IF(W13="","",IF($W$5=5,$D$5,IF($W$7=5,$D$7,IF($W$9=5,$D$9,IF($W$11=5,$D$11,IF($W$13=5,$D$13,0))))))</f>
        <v>Kölner TB</v>
      </c>
    </row>
    <row r="14" spans="3:25" ht="10.5" customHeight="1">
      <c r="C14" s="113"/>
      <c r="D14" s="114"/>
      <c r="E14" s="108">
        <f>IF(E13="","",IF(E13&gt;G13,2,IF(E13&lt;G13,0,1)))</f>
        <v>2</v>
      </c>
      <c r="F14" s="52" t="s">
        <v>23</v>
      </c>
      <c r="G14" s="109">
        <f>IF(G13="","",IF(G13&gt;E13,2,IF(G13&lt;E13,0,1)))</f>
        <v>0</v>
      </c>
      <c r="H14" s="108">
        <f>IF(H13="","",IF(H13&gt;J13,2,IF(H13&lt;J13,0,1)))</f>
        <v>2</v>
      </c>
      <c r="I14" s="52" t="s">
        <v>23</v>
      </c>
      <c r="J14" s="109">
        <f>IF(J13="","",IF(J13&gt;H13,2,IF(J13&lt;H13,0,1)))</f>
        <v>0</v>
      </c>
      <c r="K14" s="108">
        <f>IF(K13="","",IF(K13&gt;M13,2,IF(K13&lt;M13,0,1)))</f>
        <v>2</v>
      </c>
      <c r="L14" s="52" t="s">
        <v>23</v>
      </c>
      <c r="M14" s="109">
        <f>IF(M13="","",IF(M13&gt;K13,2,IF(M13&lt;K13,0,1)))</f>
        <v>0</v>
      </c>
      <c r="N14" s="108">
        <f>IF(N13="","",IF(N13&gt;P13,2,IF(N13&lt;P13,0,1)))</f>
        <v>0</v>
      </c>
      <c r="O14" s="52" t="s">
        <v>23</v>
      </c>
      <c r="P14" s="109">
        <f>IF(P13="","",IF(P13&gt;N13,2,IF(P13&lt;N13,0,1)))</f>
        <v>2</v>
      </c>
      <c r="Q14" s="105"/>
      <c r="R14" s="106"/>
      <c r="S14" s="107"/>
      <c r="T14" s="108">
        <f>IF(Y14="","",SUM(E14,H14,K14,N14,Q14))</f>
        <v>6</v>
      </c>
      <c r="U14" s="52" t="s">
        <v>23</v>
      </c>
      <c r="V14" s="109">
        <f>IF(Y14="","",SUM(G14,J14,M14,P14,S14))</f>
        <v>2</v>
      </c>
      <c r="W14" s="110"/>
      <c r="X14" s="111">
        <f>+(T14-V14)+T13/V13+T14</f>
        <v>11.410714285714285</v>
      </c>
      <c r="Y14" s="101" t="s">
        <v>197</v>
      </c>
    </row>
    <row r="15" spans="3:25" ht="9.75" customHeight="1">
      <c r="C15" s="115"/>
      <c r="D15" s="115"/>
      <c r="E15" s="116"/>
      <c r="F15" s="96"/>
      <c r="G15" s="117"/>
      <c r="H15" s="116"/>
      <c r="I15" s="96"/>
      <c r="J15" s="117"/>
      <c r="K15" s="116"/>
      <c r="L15" s="96"/>
      <c r="M15" s="117"/>
      <c r="N15" s="116"/>
      <c r="O15" s="96"/>
      <c r="P15" s="117"/>
      <c r="Q15" s="118"/>
      <c r="R15" s="118"/>
      <c r="S15" s="118"/>
      <c r="T15" s="116"/>
      <c r="U15" s="96"/>
      <c r="V15" s="117"/>
      <c r="W15" s="119"/>
      <c r="X15" s="111"/>
      <c r="Y15" s="101"/>
    </row>
    <row r="16" spans="3:25" ht="9.75" customHeight="1" hidden="1" outlineLevel="1">
      <c r="C16" s="120" t="s">
        <v>24</v>
      </c>
      <c r="D16" s="121" t="str">
        <f>+D5</f>
        <v>TSV Ohorn</v>
      </c>
      <c r="E16" s="122"/>
      <c r="F16" s="123"/>
      <c r="G16" s="124"/>
      <c r="H16" s="125"/>
      <c r="I16" s="126" t="s">
        <v>22</v>
      </c>
      <c r="J16" s="127"/>
      <c r="K16" s="125"/>
      <c r="L16" s="126" t="s">
        <v>22</v>
      </c>
      <c r="M16" s="127"/>
      <c r="N16" s="125"/>
      <c r="O16" s="126" t="s">
        <v>22</v>
      </c>
      <c r="P16" s="127"/>
      <c r="Q16" s="128"/>
      <c r="R16" s="126" t="s">
        <v>22</v>
      </c>
      <c r="S16" s="129"/>
      <c r="T16" s="56"/>
      <c r="U16" s="130"/>
      <c r="V16" s="131"/>
      <c r="W16" s="132"/>
      <c r="X16" s="111"/>
      <c r="Y16" s="101"/>
    </row>
    <row r="17" spans="3:25" ht="9.75" customHeight="1" hidden="1" outlineLevel="1">
      <c r="C17" s="133"/>
      <c r="D17" s="121" t="str">
        <f>+D7</f>
        <v>MTV Eiche Schönebeck</v>
      </c>
      <c r="E17" s="125">
        <f>IF(J16="","",J16)</f>
      </c>
      <c r="F17" s="126" t="s">
        <v>22</v>
      </c>
      <c r="G17" s="127">
        <f>IF(H16="","",H16)</f>
      </c>
      <c r="H17" s="122"/>
      <c r="I17" s="123"/>
      <c r="J17" s="124"/>
      <c r="K17" s="125"/>
      <c r="L17" s="126" t="s">
        <v>22</v>
      </c>
      <c r="M17" s="127"/>
      <c r="N17" s="125"/>
      <c r="O17" s="126" t="s">
        <v>22</v>
      </c>
      <c r="P17" s="127"/>
      <c r="Q17" s="128"/>
      <c r="R17" s="126" t="s">
        <v>22</v>
      </c>
      <c r="S17" s="129"/>
      <c r="T17" s="56"/>
      <c r="U17" s="130"/>
      <c r="V17" s="131"/>
      <c r="W17" s="132"/>
      <c r="X17" s="111"/>
      <c r="Y17" s="101"/>
    </row>
    <row r="18" spans="3:25" ht="9.75" customHeight="1" hidden="1" outlineLevel="1">
      <c r="C18" s="133"/>
      <c r="D18" s="121" t="str">
        <f>+D9</f>
        <v>Kölner TB</v>
      </c>
      <c r="E18" s="125">
        <f>IF(M16="","",M16)</f>
      </c>
      <c r="F18" s="126" t="s">
        <v>22</v>
      </c>
      <c r="G18" s="127">
        <f>IF(K16="","",K16)</f>
      </c>
      <c r="H18" s="125">
        <f>IF(M17="","",M17)</f>
      </c>
      <c r="I18" s="126" t="s">
        <v>22</v>
      </c>
      <c r="J18" s="127">
        <f>IF(K17="","",K17)</f>
      </c>
      <c r="K18" s="122"/>
      <c r="L18" s="123"/>
      <c r="M18" s="124"/>
      <c r="N18" s="125"/>
      <c r="O18" s="126" t="s">
        <v>22</v>
      </c>
      <c r="P18" s="127"/>
      <c r="Q18" s="128"/>
      <c r="R18" s="126" t="s">
        <v>22</v>
      </c>
      <c r="S18" s="129"/>
      <c r="T18" s="56"/>
      <c r="U18" s="130"/>
      <c r="V18" s="131"/>
      <c r="W18" s="132"/>
      <c r="X18" s="111"/>
      <c r="Y18" s="101"/>
    </row>
    <row r="19" spans="3:25" ht="9.75" customHeight="1" hidden="1" outlineLevel="1">
      <c r="C19" s="133"/>
      <c r="D19" s="121" t="str">
        <f>+D11</f>
        <v>PV Gundernhausen</v>
      </c>
      <c r="E19" s="125">
        <f>IF(P16="","",P16)</f>
      </c>
      <c r="F19" s="126" t="s">
        <v>22</v>
      </c>
      <c r="G19" s="127">
        <f>IF(N16="","",N16)</f>
      </c>
      <c r="H19" s="125">
        <f>IF(P17="","",P17)</f>
      </c>
      <c r="I19" s="126" t="s">
        <v>22</v>
      </c>
      <c r="J19" s="127">
        <f>IF(N17="","",N17)</f>
      </c>
      <c r="K19" s="125">
        <f>IF(P18="","",P18)</f>
      </c>
      <c r="L19" s="126" t="s">
        <v>22</v>
      </c>
      <c r="M19" s="127">
        <f>IF(N18="","",N18)</f>
      </c>
      <c r="N19" s="122"/>
      <c r="O19" s="123"/>
      <c r="P19" s="124"/>
      <c r="Q19" s="128"/>
      <c r="R19" s="126" t="s">
        <v>22</v>
      </c>
      <c r="S19" s="129"/>
      <c r="T19" s="56"/>
      <c r="U19" s="130"/>
      <c r="V19" s="131"/>
      <c r="W19" s="132"/>
      <c r="X19" s="111"/>
      <c r="Y19" s="101"/>
    </row>
    <row r="20" spans="3:25" ht="9.75" customHeight="1" hidden="1" outlineLevel="1">
      <c r="C20" s="133"/>
      <c r="D20" s="121" t="str">
        <f>+D13</f>
        <v>VfL Waiblingen</v>
      </c>
      <c r="E20" s="125">
        <f>IF(S16="","",S16)</f>
      </c>
      <c r="F20" s="126" t="s">
        <v>22</v>
      </c>
      <c r="G20" s="127">
        <f>IF(Q16="","",Q16)</f>
      </c>
      <c r="H20" s="125">
        <f>IF(S17="","",S17)</f>
      </c>
      <c r="I20" s="126" t="s">
        <v>22</v>
      </c>
      <c r="J20" s="127">
        <f>IF(Q17="","",Q17)</f>
      </c>
      <c r="K20" s="125">
        <f>IF(S18="","",S18)</f>
      </c>
      <c r="L20" s="126" t="s">
        <v>22</v>
      </c>
      <c r="M20" s="127">
        <f>IF(Q18="","",Q18)</f>
      </c>
      <c r="N20" s="125">
        <f>IF(S19="","",S19)</f>
      </c>
      <c r="O20" s="126" t="s">
        <v>22</v>
      </c>
      <c r="P20" s="127">
        <f>IF(Q19="","",Q19)</f>
      </c>
      <c r="Q20" s="122"/>
      <c r="R20" s="123"/>
      <c r="S20" s="124"/>
      <c r="T20" s="56"/>
      <c r="U20" s="130"/>
      <c r="V20" s="131"/>
      <c r="W20" s="132"/>
      <c r="X20" s="111"/>
      <c r="Y20" s="101"/>
    </row>
    <row r="21" spans="6:18" ht="12.75" collapsed="1">
      <c r="F21" s="134">
        <v>11</v>
      </c>
      <c r="G21" s="134"/>
      <c r="H21" s="134"/>
      <c r="I21" s="134">
        <v>12</v>
      </c>
      <c r="J21" s="134"/>
      <c r="K21" s="134"/>
      <c r="L21" s="134">
        <v>13</v>
      </c>
      <c r="M21" s="134"/>
      <c r="N21" s="134"/>
      <c r="O21" s="134">
        <v>14</v>
      </c>
      <c r="P21" s="134"/>
      <c r="Q21" s="134"/>
      <c r="R21" s="134">
        <v>15</v>
      </c>
    </row>
    <row r="22" spans="3:23" ht="12.75" customHeight="1">
      <c r="C22" s="135"/>
      <c r="D22" s="136" t="str">
        <f>+Daten!L5</f>
        <v>Gruppe D</v>
      </c>
      <c r="E22" s="83"/>
      <c r="F22" s="81" t="str">
        <f>+D23</f>
        <v>TSV Marienfelde</v>
      </c>
      <c r="G22" s="84"/>
      <c r="H22" s="83"/>
      <c r="I22" s="81" t="str">
        <f>+D25</f>
        <v>SV Werder Bremen</v>
      </c>
      <c r="J22" s="84"/>
      <c r="K22" s="83"/>
      <c r="L22" s="81" t="str">
        <f>+D27</f>
        <v>TV Reutin</v>
      </c>
      <c r="M22" s="84"/>
      <c r="N22" s="83"/>
      <c r="O22" s="81" t="str">
        <f>+D29</f>
        <v>SV Weiler</v>
      </c>
      <c r="P22" s="84"/>
      <c r="Q22" s="83"/>
      <c r="R22" s="81" t="str">
        <f>+D31</f>
        <v>TV "Frisch Auf" Altenbochum</v>
      </c>
      <c r="S22" s="84"/>
      <c r="T22" s="85"/>
      <c r="U22" s="86" t="s">
        <v>20</v>
      </c>
      <c r="V22" s="87"/>
      <c r="W22" s="88" t="s">
        <v>21</v>
      </c>
    </row>
    <row r="23" spans="1:29" ht="15" customHeight="1">
      <c r="A23" s="33">
        <v>11</v>
      </c>
      <c r="C23" s="90" t="str">
        <f>IF(Daten!K6="","",Daten!K6)</f>
        <v>NI</v>
      </c>
      <c r="D23" s="91" t="str">
        <f>IF(Daten!L6="","",Daten!L6)</f>
        <v>TSV Marienfelde</v>
      </c>
      <c r="E23" s="92"/>
      <c r="F23" s="93"/>
      <c r="G23" s="94"/>
      <c r="H23" s="95">
        <f>IF(ISERROR(VLOOKUP($A$3&amp;TEXT($A23,"00")&amp;TEXT(I$21,"00"),Samstag!$A$24:$Y$205,16,FALSE)),"",VLOOKUP($A$3&amp;TEXT($A23,"00")&amp;TEXT(I$21,"00"),Samstag!$A$24:$Y$205,16,FALSE))</f>
        <v>27</v>
      </c>
      <c r="I23" s="96" t="s">
        <v>22</v>
      </c>
      <c r="J23" s="97">
        <f>IF(ISERROR(VLOOKUP($A$3&amp;TEXT($A23,"00")&amp;TEXT(I$21,"00"),Samstag!$A$24:$Y$205,18,FALSE)),"",VLOOKUP($A$3&amp;TEXT($A23,"00")&amp;TEXT(I$21,"00"),Samstag!$A$24:$Y$205,18,FALSE))</f>
        <v>31</v>
      </c>
      <c r="K23" s="98">
        <f>IF(Samstag!$P48="","",Samstag!$P48)</f>
        <v>26</v>
      </c>
      <c r="L23" s="96" t="s">
        <v>22</v>
      </c>
      <c r="M23" s="99">
        <f>IF(Samstag!$R48="","",Samstag!$R48)</f>
        <v>37</v>
      </c>
      <c r="N23" s="98">
        <f>IF(Samstag!$P60="","",Samstag!$P60)</f>
        <v>21</v>
      </c>
      <c r="O23" s="96" t="s">
        <v>22</v>
      </c>
      <c r="P23" s="99">
        <f>IF(Samstag!$R60="","",Samstag!$R60)</f>
        <v>40</v>
      </c>
      <c r="Q23" s="98">
        <f>IF(Samstag!$P36="","",Samstag!$P36)</f>
        <v>35</v>
      </c>
      <c r="R23" s="96" t="s">
        <v>22</v>
      </c>
      <c r="S23" s="99">
        <f>IF(Samstag!$R36="","",Samstag!$R36)</f>
        <v>28</v>
      </c>
      <c r="T23" s="98">
        <f>IF(Y24="","",SUM(E23,H23,K23,N23,Q23))</f>
        <v>109</v>
      </c>
      <c r="U23" s="96" t="s">
        <v>22</v>
      </c>
      <c r="V23" s="99">
        <f>IF(Y24="","",SUM(G23,J23,M23,P23,S23))</f>
        <v>136</v>
      </c>
      <c r="W23" s="100">
        <f>IF(Y23="","",RANK(X24,($X$24,$X$26,$X$28,$X$30,$X$32),0))</f>
        <v>4</v>
      </c>
      <c r="Y23" s="101" t="s">
        <v>197</v>
      </c>
      <c r="AB23" s="3">
        <v>1</v>
      </c>
      <c r="AC23" s="3" t="str">
        <f>IF(W23="","",IF($W$23=1,$D$23,IF($W$25=1,$D$25,IF($W$27=1,$D$27,IF($W$29=1,$D$29,IF($W$31=1,$D$31,0))))))</f>
        <v>SV Weiler</v>
      </c>
    </row>
    <row r="24" spans="3:25" ht="10.5" customHeight="1">
      <c r="C24" s="137"/>
      <c r="D24" s="138"/>
      <c r="E24" s="105"/>
      <c r="F24" s="106"/>
      <c r="G24" s="107"/>
      <c r="H24" s="108">
        <f>IF(H23=0,"",IF(H23&gt;J23,2,IF(H23&lt;J23,0,1)))</f>
        <v>0</v>
      </c>
      <c r="I24" s="52" t="s">
        <v>23</v>
      </c>
      <c r="J24" s="109">
        <f>IF(J23=0,"",IF(J23&gt;H23,2,IF(J23&lt;H23,0,1)))</f>
        <v>2</v>
      </c>
      <c r="K24" s="108">
        <f>IF(K23="","",IF(K23&gt;M23,2,IF(K23&lt;M23,0,1)))</f>
        <v>0</v>
      </c>
      <c r="L24" s="52" t="s">
        <v>23</v>
      </c>
      <c r="M24" s="109">
        <f>IF(M23="","",IF(M23&gt;K23,2,IF(M23&lt;K23,0,1)))</f>
        <v>2</v>
      </c>
      <c r="N24" s="108">
        <f>IF(N23="","",IF(N23&gt;P23,2,IF(N23&lt;P23,0,1)))</f>
        <v>0</v>
      </c>
      <c r="O24" s="52" t="s">
        <v>23</v>
      </c>
      <c r="P24" s="109">
        <f>IF(P23="","",IF(P23&gt;N23,2,IF(P23&lt;N23,0,1)))</f>
        <v>2</v>
      </c>
      <c r="Q24" s="108">
        <f>IF(Q23="","",IF(Q23&gt;S23,2,IF(Q23&lt;S23,0,1)))</f>
        <v>2</v>
      </c>
      <c r="R24" s="52" t="s">
        <v>23</v>
      </c>
      <c r="S24" s="109">
        <f>IF(S23="","",IF(S23&gt;Q23,2,IF(S23&lt;Q23,0,1)))</f>
        <v>0</v>
      </c>
      <c r="T24" s="108">
        <f>IF(Y24="","",SUM(E24,H24,K24,N24,Q24))</f>
        <v>2</v>
      </c>
      <c r="U24" s="52" t="s">
        <v>23</v>
      </c>
      <c r="V24" s="109">
        <f>IF(Y24="","",SUM(G24,J24,M24,P24,S24))</f>
        <v>6</v>
      </c>
      <c r="W24" s="110"/>
      <c r="X24" s="111">
        <f>+(T24-V24)+T23/V23+T24</f>
        <v>-1.1985294117647056</v>
      </c>
      <c r="Y24" s="101" t="s">
        <v>197</v>
      </c>
    </row>
    <row r="25" spans="1:29" ht="15" customHeight="1">
      <c r="A25" s="33">
        <v>12</v>
      </c>
      <c r="C25" s="90" t="str">
        <f>IF(Daten!K7="","",Daten!K7)</f>
        <v>BR</v>
      </c>
      <c r="D25" s="91" t="str">
        <f>IF(Daten!L7="","",Daten!L7)</f>
        <v>SV Werder Bremen</v>
      </c>
      <c r="E25" s="95">
        <f>IF(J23=0,"",J23)</f>
        <v>31</v>
      </c>
      <c r="F25" s="96" t="s">
        <v>22</v>
      </c>
      <c r="G25" s="97">
        <f>IF(H23=0,"",H23)</f>
        <v>27</v>
      </c>
      <c r="H25" s="92"/>
      <c r="I25" s="93"/>
      <c r="J25" s="94"/>
      <c r="K25" s="98">
        <f>IF(Samstag!$P40="","",Samstag!$P40)</f>
        <v>31</v>
      </c>
      <c r="L25" s="96" t="s">
        <v>22</v>
      </c>
      <c r="M25" s="99">
        <f>IF(Samstag!$R40="","",Samstag!$R40)</f>
        <v>44</v>
      </c>
      <c r="N25" s="98">
        <f>IF(Samstag!$P52="","",Samstag!$P52)</f>
        <v>22</v>
      </c>
      <c r="O25" s="96" t="s">
        <v>22</v>
      </c>
      <c r="P25" s="99">
        <f>IF(Samstag!$R52="","",Samstag!$R52)</f>
        <v>37</v>
      </c>
      <c r="Q25" s="98">
        <f>IF(Samstag!$P64="","",Samstag!$P64)</f>
        <v>35</v>
      </c>
      <c r="R25" s="96" t="s">
        <v>22</v>
      </c>
      <c r="S25" s="99">
        <f>IF(Samstag!$R64="","",Samstag!$R64)</f>
        <v>30</v>
      </c>
      <c r="T25" s="98">
        <f>IF(Y26="","",SUM(E25,H25,K25,N25,Q25))</f>
        <v>119</v>
      </c>
      <c r="U25" s="96" t="s">
        <v>22</v>
      </c>
      <c r="V25" s="99">
        <f>IF(Y26="","",SUM(G25,J25,M25,P25,S25))</f>
        <v>138</v>
      </c>
      <c r="W25" s="112">
        <f>IF(Y25="","",RANK(X26,($X$24,$X$26,$X$28,$X$30,$X$32),0))</f>
        <v>3</v>
      </c>
      <c r="Y25" s="101" t="s">
        <v>197</v>
      </c>
      <c r="AB25" s="3">
        <v>2</v>
      </c>
      <c r="AC25" s="3" t="str">
        <f>IF(W25="","",IF($W$23=2,$D$23,IF($W$25=2,$D$25,IF($W$27=2,$D$27,IF($W$29=2,$D$29,IF($W$31=2,$D$31,0))))))</f>
        <v>TV Reutin</v>
      </c>
    </row>
    <row r="26" spans="3:25" ht="10.5" customHeight="1">
      <c r="C26" s="137"/>
      <c r="D26" s="138"/>
      <c r="E26" s="108">
        <f>IF(E25="","",IF(E25&gt;G25,2,IF(E25&lt;G25,0,1)))</f>
        <v>2</v>
      </c>
      <c r="F26" s="52" t="s">
        <v>23</v>
      </c>
      <c r="G26" s="109">
        <f>IF(G25="","",IF(G25&gt;E25,2,IF(G25&lt;E25,0,1)))</f>
        <v>0</v>
      </c>
      <c r="H26" s="105"/>
      <c r="I26" s="106"/>
      <c r="J26" s="107"/>
      <c r="K26" s="108">
        <f>IF(K25="","",IF(K25&gt;M25,2,IF(K25&lt;M25,0,1)))</f>
        <v>0</v>
      </c>
      <c r="L26" s="52" t="s">
        <v>23</v>
      </c>
      <c r="M26" s="109">
        <f>IF(M25="","",IF(M25&gt;K25,2,IF(M25&lt;K25,0,1)))</f>
        <v>2</v>
      </c>
      <c r="N26" s="108">
        <f>IF(N25="","",IF(N25&gt;P25,2,IF(N25&lt;P25,0,1)))</f>
        <v>0</v>
      </c>
      <c r="O26" s="52" t="s">
        <v>23</v>
      </c>
      <c r="P26" s="109">
        <f>IF(P25="","",IF(P25&gt;N25,2,IF(P25&lt;N25,0,1)))</f>
        <v>2</v>
      </c>
      <c r="Q26" s="108">
        <f>IF(Q25="","",IF(Q25&gt;S25,2,IF(Q25&lt;S25,0,1)))</f>
        <v>2</v>
      </c>
      <c r="R26" s="52" t="s">
        <v>23</v>
      </c>
      <c r="S26" s="109">
        <f>IF(S25="","",IF(S25&gt;Q25,2,IF(S25&lt;Q25,0,1)))</f>
        <v>0</v>
      </c>
      <c r="T26" s="108">
        <f>IF(Y26="","",SUM(E26,H26,K26,N26,Q26))</f>
        <v>4</v>
      </c>
      <c r="U26" s="52" t="s">
        <v>23</v>
      </c>
      <c r="V26" s="109">
        <f>IF(Y26="","",SUM(G26,J26,M26,P26,S26))</f>
        <v>4</v>
      </c>
      <c r="W26" s="110"/>
      <c r="X26" s="111">
        <f>+(T26-V26)+T25/V25+T26</f>
        <v>4.86231884057971</v>
      </c>
      <c r="Y26" s="101" t="s">
        <v>197</v>
      </c>
    </row>
    <row r="27" spans="1:29" ht="15" customHeight="1">
      <c r="A27" s="33">
        <v>13</v>
      </c>
      <c r="C27" s="90" t="str">
        <f>IF(Daten!K8="","",Daten!K8)</f>
        <v>SW</v>
      </c>
      <c r="D27" s="91" t="str">
        <f>IF(Daten!L8="","",Daten!L8)</f>
        <v>TV Reutin</v>
      </c>
      <c r="E27" s="98">
        <f>IF(M23=0,"",M23)</f>
        <v>37</v>
      </c>
      <c r="F27" s="96" t="s">
        <v>22</v>
      </c>
      <c r="G27" s="99">
        <f>IF(K23=0,"",K23)</f>
        <v>26</v>
      </c>
      <c r="H27" s="95">
        <f>IF(M25=0,"",M25)</f>
        <v>44</v>
      </c>
      <c r="I27" s="96" t="s">
        <v>22</v>
      </c>
      <c r="J27" s="97">
        <f>IF(K25=0,"",K25)</f>
        <v>31</v>
      </c>
      <c r="K27" s="92"/>
      <c r="L27" s="93"/>
      <c r="M27" s="94"/>
      <c r="N27" s="98">
        <f>IF(Samstag!$P32="","",Samstag!$P32)</f>
        <v>28</v>
      </c>
      <c r="O27" s="96" t="s">
        <v>22</v>
      </c>
      <c r="P27" s="99">
        <f>IF(Samstag!$R32="","",Samstag!$R32)</f>
        <v>36</v>
      </c>
      <c r="Q27" s="98">
        <f>IF(Samstag!$P56="","",Samstag!$P56)</f>
        <v>40</v>
      </c>
      <c r="R27" s="96" t="s">
        <v>22</v>
      </c>
      <c r="S27" s="99">
        <f>IF(Samstag!$R56="","",Samstag!$R56)</f>
        <v>31</v>
      </c>
      <c r="T27" s="98">
        <f>IF(Y28="","",SUM(E27,H27,K27,N27,Q27))</f>
        <v>149</v>
      </c>
      <c r="U27" s="96" t="s">
        <v>22</v>
      </c>
      <c r="V27" s="99">
        <f>IF(Y28="","",SUM(G27,J27,M27,P27,S27))</f>
        <v>124</v>
      </c>
      <c r="W27" s="112">
        <f>IF(Y27="","",RANK(X28,($X$24,$X$26,$X$28,$X$30,$X$32),0))</f>
        <v>2</v>
      </c>
      <c r="Y27" s="101" t="s">
        <v>197</v>
      </c>
      <c r="AB27" s="3">
        <v>3</v>
      </c>
      <c r="AC27" s="3" t="str">
        <f>IF(W27="","",IF($W$23=3,$D$23,IF($W$25=3,$D$25,IF($W$27=3,$D$27,IF($W$29=3,$D$29,IF($W$31=3,$D$31,0))))))</f>
        <v>SV Werder Bremen</v>
      </c>
    </row>
    <row r="28" spans="3:25" ht="10.5" customHeight="1">
      <c r="C28" s="139"/>
      <c r="D28" s="140"/>
      <c r="E28" s="108">
        <f>IF(E27="","",IF(E27&gt;G27,2,IF(E27&lt;G27,0,1)))</f>
        <v>2</v>
      </c>
      <c r="F28" s="52" t="s">
        <v>23</v>
      </c>
      <c r="G28" s="109">
        <f>IF(G27="","",IF(G27&gt;E27,2,IF(G27&lt;E27,0,1)))</f>
        <v>0</v>
      </c>
      <c r="H28" s="108">
        <f>IF(H27="","",IF(H27&gt;J27,2,IF(H27&lt;J27,0,1)))</f>
        <v>2</v>
      </c>
      <c r="I28" s="52" t="s">
        <v>23</v>
      </c>
      <c r="J28" s="109">
        <f>IF(J27="","",IF(J27&gt;H27,2,IF(J27&lt;H27,0,1)))</f>
        <v>0</v>
      </c>
      <c r="K28" s="105"/>
      <c r="L28" s="106"/>
      <c r="M28" s="107"/>
      <c r="N28" s="108">
        <f>IF(N27="","",IF(N27&gt;P27,2,IF(N27&lt;P27,0,1)))</f>
        <v>0</v>
      </c>
      <c r="O28" s="52" t="s">
        <v>23</v>
      </c>
      <c r="P28" s="109">
        <f>IF(P27="","",IF(P27&gt;N27,2,IF(P27&lt;N27,0,1)))</f>
        <v>2</v>
      </c>
      <c r="Q28" s="108">
        <f>IF(Q27="","",IF(Q27&gt;S27,2,IF(Q27&lt;S27,0,1)))</f>
        <v>2</v>
      </c>
      <c r="R28" s="52" t="s">
        <v>23</v>
      </c>
      <c r="S28" s="109">
        <f>IF(S27="","",IF(S27&gt;Q27,2,IF(S27&lt;Q27,0,1)))</f>
        <v>0</v>
      </c>
      <c r="T28" s="108">
        <f>IF(Y28="","",SUM(E28,H28,K28,N28,Q28))</f>
        <v>6</v>
      </c>
      <c r="U28" s="52" t="s">
        <v>23</v>
      </c>
      <c r="V28" s="109">
        <f>IF(Y28="","",SUM(G28,J28,M28,P28,S28))</f>
        <v>2</v>
      </c>
      <c r="W28" s="110"/>
      <c r="X28" s="111">
        <f>+(T28-V28)+T27/V27+T28</f>
        <v>11.201612903225806</v>
      </c>
      <c r="Y28" s="101" t="s">
        <v>197</v>
      </c>
    </row>
    <row r="29" spans="1:29" ht="15" customHeight="1">
      <c r="A29" s="33">
        <v>14</v>
      </c>
      <c r="C29" s="90" t="str">
        <f>IF(Daten!K9="","",Daten!K9)</f>
        <v>SW</v>
      </c>
      <c r="D29" s="91" t="str">
        <f>IF(Daten!L9="","",Daten!L9)</f>
        <v>SV Weiler</v>
      </c>
      <c r="E29" s="98">
        <f>IF(P23=0,"",P23)</f>
        <v>40</v>
      </c>
      <c r="F29" s="96" t="s">
        <v>22</v>
      </c>
      <c r="G29" s="99">
        <f>IF(N23=0,"",N23)</f>
        <v>21</v>
      </c>
      <c r="H29" s="98">
        <f>IF(P25=0,"",P25)</f>
        <v>37</v>
      </c>
      <c r="I29" s="96" t="s">
        <v>22</v>
      </c>
      <c r="J29" s="99">
        <f>IF(N25=0,"",N25)</f>
        <v>22</v>
      </c>
      <c r="K29" s="95">
        <f>IF(P27=0,"",P27)</f>
        <v>36</v>
      </c>
      <c r="L29" s="96" t="s">
        <v>22</v>
      </c>
      <c r="M29" s="97">
        <f>IF(N27=0,"",N27)</f>
        <v>28</v>
      </c>
      <c r="N29" s="92"/>
      <c r="O29" s="93"/>
      <c r="P29" s="94"/>
      <c r="Q29" s="98">
        <f>IF(Samstag!$P44="","",Samstag!$P44)</f>
        <v>44</v>
      </c>
      <c r="R29" s="96" t="s">
        <v>22</v>
      </c>
      <c r="S29" s="99">
        <f>IF(Samstag!$R44="","",Samstag!$R44)</f>
        <v>17</v>
      </c>
      <c r="T29" s="98">
        <f>IF(Y30="","",SUM(E29,H29,K29,N29,Q29))</f>
        <v>157</v>
      </c>
      <c r="U29" s="96" t="s">
        <v>22</v>
      </c>
      <c r="V29" s="99">
        <f>IF(Y30="","",SUM(G29,J29,M29,P29,S29))</f>
        <v>88</v>
      </c>
      <c r="W29" s="112">
        <f>IF(Y29="","",RANK(X30,($X$24,$X$26,$X$28,$X$30,$X$32),0))</f>
        <v>1</v>
      </c>
      <c r="Y29" s="101" t="s">
        <v>197</v>
      </c>
      <c r="AB29" s="3">
        <v>4</v>
      </c>
      <c r="AC29" s="3" t="str">
        <f>IF(W29="","",IF($W$23=4,$D$23,IF($W$25=4,$D$25,IF($W$27=4,$D$27,IF($W$29=4,$D$29,IF($W$31=4,$D$31,0))))))</f>
        <v>TSV Marienfelde</v>
      </c>
    </row>
    <row r="30" spans="3:25" ht="10.5" customHeight="1">
      <c r="C30" s="137"/>
      <c r="D30" s="140"/>
      <c r="E30" s="108">
        <f>IF(E29="","",IF(E29&gt;G29,2,IF(E29&lt;G29,0,1)))</f>
        <v>2</v>
      </c>
      <c r="F30" s="52" t="s">
        <v>23</v>
      </c>
      <c r="G30" s="109">
        <f>IF(G29="","",IF(G29&gt;E29,2,IF(G29&lt;E29,0,1)))</f>
        <v>0</v>
      </c>
      <c r="H30" s="108">
        <f>IF(H29="","",IF(H29&gt;J29,2,IF(H29&lt;J29,0,1)))</f>
        <v>2</v>
      </c>
      <c r="I30" s="52" t="s">
        <v>23</v>
      </c>
      <c r="J30" s="109">
        <f>IF(J29="","",IF(J29&gt;H29,2,IF(J29&lt;H29,0,1)))</f>
        <v>0</v>
      </c>
      <c r="K30" s="108">
        <f>IF(K29="","",IF(K29&gt;M29,2,IF(K29&lt;M29,0,1)))</f>
        <v>2</v>
      </c>
      <c r="L30" s="52" t="s">
        <v>23</v>
      </c>
      <c r="M30" s="109">
        <f>IF(M29="","",IF(M29&gt;K29,2,IF(M29&lt;K29,0,1)))</f>
        <v>0</v>
      </c>
      <c r="N30" s="105"/>
      <c r="O30" s="106"/>
      <c r="P30" s="107"/>
      <c r="Q30" s="108">
        <f>IF(Q29="","",IF(Q29&gt;S29,2,IF(Q29&lt;S29,0,1)))</f>
        <v>2</v>
      </c>
      <c r="R30" s="52" t="s">
        <v>23</v>
      </c>
      <c r="S30" s="109">
        <f>IF(S29="","",IF(S29&gt;Q29,2,IF(S29&lt;Q29,0,1)))</f>
        <v>0</v>
      </c>
      <c r="T30" s="108">
        <f>IF(Y30="","",SUM(E30,H30,K30,N30,Q30))</f>
        <v>8</v>
      </c>
      <c r="U30" s="52" t="s">
        <v>23</v>
      </c>
      <c r="V30" s="109">
        <f>IF(Y30="","",SUM(G30,J30,M30,P30,S30))</f>
        <v>0</v>
      </c>
      <c r="W30" s="110"/>
      <c r="X30" s="111">
        <f>+(T30-V30)+T29/V29+T30</f>
        <v>17.78409090909091</v>
      </c>
      <c r="Y30" s="101" t="s">
        <v>197</v>
      </c>
    </row>
    <row r="31" spans="1:29" ht="15" customHeight="1">
      <c r="A31" s="33">
        <v>15</v>
      </c>
      <c r="C31" s="90" t="str">
        <f>IF(Daten!K10="","",Daten!K10)</f>
        <v>WE</v>
      </c>
      <c r="D31" s="91" t="str">
        <f>IF(Daten!L10="","",Daten!L10)</f>
        <v>TV "Frisch Auf" Altenbochum</v>
      </c>
      <c r="E31" s="98">
        <f>IF(S23=0,"",S23)</f>
        <v>28</v>
      </c>
      <c r="F31" s="96" t="s">
        <v>22</v>
      </c>
      <c r="G31" s="99">
        <f>IF(Q23=0,"",Q23)</f>
        <v>35</v>
      </c>
      <c r="H31" s="98">
        <f>IF(S25=0,"",S25)</f>
        <v>30</v>
      </c>
      <c r="I31" s="96" t="s">
        <v>22</v>
      </c>
      <c r="J31" s="99">
        <f>IF(Q25=0,"",Q25)</f>
        <v>35</v>
      </c>
      <c r="K31" s="98">
        <f>IF(S27=0,"",S27)</f>
        <v>31</v>
      </c>
      <c r="L31" s="96" t="s">
        <v>22</v>
      </c>
      <c r="M31" s="99">
        <f>IF(Q27=0,"",Q27)</f>
        <v>40</v>
      </c>
      <c r="N31" s="95">
        <f>IF(S29=0,"",S29)</f>
        <v>17</v>
      </c>
      <c r="O31" s="96" t="s">
        <v>22</v>
      </c>
      <c r="P31" s="97">
        <f>IF(Q29=0,"",Q29)</f>
        <v>44</v>
      </c>
      <c r="Q31" s="92"/>
      <c r="R31" s="93"/>
      <c r="S31" s="94"/>
      <c r="T31" s="98">
        <f>IF(Y32="","",SUM(E31,H31,K31,N31,Q31))</f>
        <v>106</v>
      </c>
      <c r="U31" s="96" t="s">
        <v>22</v>
      </c>
      <c r="V31" s="99">
        <f>IF(Y32="","",SUM(G31,J31,M31,P31,S31))</f>
        <v>154</v>
      </c>
      <c r="W31" s="112">
        <f>IF(Y31="","",RANK(X32,($X$24,$X$26,$X$28,$X$30,$X$32),0))</f>
        <v>5</v>
      </c>
      <c r="Y31" s="101" t="s">
        <v>197</v>
      </c>
      <c r="AB31" s="3">
        <v>5</v>
      </c>
      <c r="AC31" s="3" t="str">
        <f>IF(W31="","",IF($W$23=5,$D$23,IF($W$25=5,$D$25,IF($W$27=5,$D$27,IF($W$29=5,$D$29,IF($W$31=5,$D$31,0))))))</f>
        <v>TV "Frisch Auf" Altenbochum</v>
      </c>
    </row>
    <row r="32" spans="3:25" ht="10.5" customHeight="1">
      <c r="C32" s="139"/>
      <c r="D32" s="140"/>
      <c r="E32" s="108">
        <f>IF(E31="","",IF(E31&gt;G31,2,IF(E31&lt;G31,0,1)))</f>
        <v>0</v>
      </c>
      <c r="F32" s="52" t="s">
        <v>23</v>
      </c>
      <c r="G32" s="109">
        <f>IF(G31="","",IF(G31&gt;E31,2,IF(G31&lt;E31,0,1)))</f>
        <v>2</v>
      </c>
      <c r="H32" s="108">
        <f>IF(H31="","",IF(H31&gt;J31,2,IF(H31&lt;J31,0,1)))</f>
        <v>0</v>
      </c>
      <c r="I32" s="52" t="s">
        <v>23</v>
      </c>
      <c r="J32" s="109">
        <f>IF(J31="","",IF(J31&gt;H31,2,IF(J31&lt;H31,0,1)))</f>
        <v>2</v>
      </c>
      <c r="K32" s="108">
        <f>IF(K31="","",IF(K31&gt;M31,2,IF(K31&lt;M31,0,1)))</f>
        <v>0</v>
      </c>
      <c r="L32" s="52" t="s">
        <v>23</v>
      </c>
      <c r="M32" s="109">
        <f>IF(M31="","",IF(M31&gt;K31,2,IF(M31&lt;K31,0,1)))</f>
        <v>2</v>
      </c>
      <c r="N32" s="108">
        <f>IF(N31="","",IF(N31&gt;P31,2,IF(N31&lt;P31,0,1)))</f>
        <v>0</v>
      </c>
      <c r="O32" s="52" t="s">
        <v>23</v>
      </c>
      <c r="P32" s="109">
        <f>IF(P31="","",IF(P31&gt;N31,2,IF(P31&lt;N31,0,1)))</f>
        <v>2</v>
      </c>
      <c r="Q32" s="105"/>
      <c r="R32" s="106"/>
      <c r="S32" s="107"/>
      <c r="T32" s="108">
        <f>IF(Y32="","",SUM(E32,H32,K32,N32,Q32))</f>
        <v>0</v>
      </c>
      <c r="U32" s="52" t="s">
        <v>23</v>
      </c>
      <c r="V32" s="109">
        <f>IF(Y32="","",SUM(G32,J32,M32,P32,S32))</f>
        <v>8</v>
      </c>
      <c r="W32" s="110"/>
      <c r="X32" s="111">
        <f>+(T32-V32)+T31/V31+T32</f>
        <v>-7.311688311688312</v>
      </c>
      <c r="Y32" s="101" t="s">
        <v>197</v>
      </c>
    </row>
    <row r="33" spans="3:25" ht="9.75" customHeight="1">
      <c r="C33" s="115"/>
      <c r="D33" s="115"/>
      <c r="E33" s="116"/>
      <c r="F33" s="96"/>
      <c r="G33" s="117"/>
      <c r="H33" s="116"/>
      <c r="I33" s="96"/>
      <c r="J33" s="117"/>
      <c r="K33" s="116"/>
      <c r="L33" s="96"/>
      <c r="M33" s="117"/>
      <c r="N33" s="116"/>
      <c r="O33" s="96"/>
      <c r="P33" s="117"/>
      <c r="Q33" s="118"/>
      <c r="R33" s="118"/>
      <c r="S33" s="118"/>
      <c r="T33" s="116"/>
      <c r="U33" s="96"/>
      <c r="V33" s="117"/>
      <c r="W33" s="119"/>
      <c r="X33" s="111"/>
      <c r="Y33" s="101"/>
    </row>
    <row r="34" spans="3:25" ht="9.75" customHeight="1" hidden="1" outlineLevel="1">
      <c r="C34" s="120" t="s">
        <v>24</v>
      </c>
      <c r="D34" s="121" t="str">
        <f>+D23</f>
        <v>TSV Marienfelde</v>
      </c>
      <c r="E34" s="122"/>
      <c r="F34" s="123"/>
      <c r="G34" s="124"/>
      <c r="H34" s="125"/>
      <c r="I34" s="126" t="s">
        <v>22</v>
      </c>
      <c r="J34" s="127"/>
      <c r="K34" s="125"/>
      <c r="L34" s="126" t="s">
        <v>22</v>
      </c>
      <c r="M34" s="127"/>
      <c r="N34" s="125"/>
      <c r="O34" s="126" t="s">
        <v>22</v>
      </c>
      <c r="P34" s="127"/>
      <c r="Q34" s="128"/>
      <c r="R34" s="126" t="s">
        <v>22</v>
      </c>
      <c r="S34" s="129"/>
      <c r="T34" s="56"/>
      <c r="U34" s="130"/>
      <c r="V34" s="131"/>
      <c r="W34" s="132"/>
      <c r="X34" s="111"/>
      <c r="Y34" s="101"/>
    </row>
    <row r="35" spans="3:25" ht="9.75" customHeight="1" hidden="1" outlineLevel="1">
      <c r="C35" s="133"/>
      <c r="D35" s="121" t="str">
        <f>+D25</f>
        <v>SV Werder Bremen</v>
      </c>
      <c r="E35" s="125">
        <f>IF(J34="","",J34)</f>
      </c>
      <c r="F35" s="126" t="s">
        <v>22</v>
      </c>
      <c r="G35" s="127">
        <f>IF(H34="","",H34)</f>
      </c>
      <c r="H35" s="122"/>
      <c r="I35" s="123"/>
      <c r="J35" s="124"/>
      <c r="K35" s="125"/>
      <c r="L35" s="126" t="s">
        <v>22</v>
      </c>
      <c r="M35" s="127"/>
      <c r="N35" s="125"/>
      <c r="O35" s="126" t="s">
        <v>22</v>
      </c>
      <c r="P35" s="127"/>
      <c r="Q35" s="128"/>
      <c r="R35" s="126" t="s">
        <v>22</v>
      </c>
      <c r="S35" s="129"/>
      <c r="T35" s="56"/>
      <c r="U35" s="130"/>
      <c r="V35" s="131"/>
      <c r="W35" s="132"/>
      <c r="X35" s="111"/>
      <c r="Y35" s="101"/>
    </row>
    <row r="36" spans="3:25" ht="9.75" customHeight="1" hidden="1" outlineLevel="1">
      <c r="C36" s="133"/>
      <c r="D36" s="121" t="str">
        <f>+D27</f>
        <v>TV Reutin</v>
      </c>
      <c r="E36" s="125">
        <f>IF(M34="","",M34)</f>
      </c>
      <c r="F36" s="126" t="s">
        <v>22</v>
      </c>
      <c r="G36" s="127">
        <f>IF(K34="","",K34)</f>
      </c>
      <c r="H36" s="125">
        <f>IF(M35="","",M35)</f>
      </c>
      <c r="I36" s="126" t="s">
        <v>22</v>
      </c>
      <c r="J36" s="127">
        <f>IF(K35="","",K35)</f>
      </c>
      <c r="K36" s="122"/>
      <c r="L36" s="123"/>
      <c r="M36" s="124"/>
      <c r="N36" s="125"/>
      <c r="O36" s="126" t="s">
        <v>22</v>
      </c>
      <c r="P36" s="127"/>
      <c r="Q36" s="128"/>
      <c r="R36" s="126" t="s">
        <v>22</v>
      </c>
      <c r="S36" s="129"/>
      <c r="T36" s="56"/>
      <c r="U36" s="130"/>
      <c r="V36" s="131"/>
      <c r="W36" s="132"/>
      <c r="X36" s="111"/>
      <c r="Y36" s="101"/>
    </row>
    <row r="37" spans="3:25" ht="9.75" customHeight="1" hidden="1" outlineLevel="1">
      <c r="C37" s="133"/>
      <c r="D37" s="121" t="str">
        <f>+D29</f>
        <v>SV Weiler</v>
      </c>
      <c r="E37" s="125">
        <f>IF(P34="","",P34)</f>
      </c>
      <c r="F37" s="126" t="s">
        <v>22</v>
      </c>
      <c r="G37" s="127">
        <f>IF(N34="","",N34)</f>
      </c>
      <c r="H37" s="125">
        <f>IF(P35="","",P35)</f>
      </c>
      <c r="I37" s="126" t="s">
        <v>22</v>
      </c>
      <c r="J37" s="127">
        <f>IF(N35="","",N35)</f>
      </c>
      <c r="K37" s="125">
        <f>IF(P36="","",P36)</f>
      </c>
      <c r="L37" s="126" t="s">
        <v>22</v>
      </c>
      <c r="M37" s="127">
        <f>IF(N36="","",N36)</f>
      </c>
      <c r="N37" s="122"/>
      <c r="O37" s="123"/>
      <c r="P37" s="124"/>
      <c r="Q37" s="128"/>
      <c r="R37" s="126" t="s">
        <v>22</v>
      </c>
      <c r="S37" s="129"/>
      <c r="T37" s="56"/>
      <c r="U37" s="130"/>
      <c r="V37" s="131"/>
      <c r="W37" s="132"/>
      <c r="X37" s="111"/>
      <c r="Y37" s="101"/>
    </row>
    <row r="38" spans="4:19" ht="9.75" customHeight="1" hidden="1" outlineLevel="1">
      <c r="D38" s="121" t="str">
        <f>+D31</f>
        <v>TV "Frisch Auf" Altenbochum</v>
      </c>
      <c r="E38" s="125">
        <f>IF(S34="","",S34)</f>
      </c>
      <c r="F38" s="126" t="s">
        <v>22</v>
      </c>
      <c r="G38" s="127">
        <f>IF(Q34="","",Q34)</f>
      </c>
      <c r="H38" s="125">
        <f>IF(S35="","",S35)</f>
      </c>
      <c r="I38" s="126" t="s">
        <v>22</v>
      </c>
      <c r="J38" s="127">
        <f>IF(Q35="","",Q35)</f>
      </c>
      <c r="K38" s="125">
        <f>IF(S36="","",S36)</f>
      </c>
      <c r="L38" s="126" t="s">
        <v>22</v>
      </c>
      <c r="M38" s="127">
        <f>IF(Q36="","",Q36)</f>
      </c>
      <c r="N38" s="125">
        <f>IF(S37="","",S37)</f>
      </c>
      <c r="O38" s="126" t="s">
        <v>22</v>
      </c>
      <c r="P38" s="127">
        <f>IF(Q37="","",Q37)</f>
      </c>
      <c r="Q38" s="122"/>
      <c r="R38" s="123"/>
      <c r="S38" s="124"/>
    </row>
    <row r="39" ht="18" customHeight="1" collapsed="1">
      <c r="C39" s="3" t="s">
        <v>157</v>
      </c>
    </row>
    <row r="40" spans="1:16" ht="17.25" customHeight="1">
      <c r="A40" s="33" t="s">
        <v>198</v>
      </c>
      <c r="B40" s="3" t="s">
        <v>25</v>
      </c>
      <c r="C40" s="141" t="str">
        <f>"4."&amp;+$D$4&amp;"  5."&amp;+$D$22</f>
        <v>4.Gruppe C  5.Gruppe D</v>
      </c>
      <c r="D40" s="142" t="str">
        <f>IF($Y$31="","",(IF(ISERROR(VLOOKUP($A$3&amp;TEXT($A40,"00"),Sonntag!$A$24:$X$205,8,FALSE)),"",VLOOKUP($A$3&amp;TEXT($A40,"00"),Sonntag!$A$24:$X$205,8,FALSE)))&amp;" : "&amp;IF($Y$31="","",IF(ISERROR(VLOOKUP($A$3&amp;TEXT($A40,"00"),Sonntag!$A$24:$X$205,11,FALSE)),"",VLOOKUP($A$3&amp;TEXT($A40,"00"),Sonntag!$A$24:$X$205,11,FALSE))))</f>
        <v>TSV Ohorn : TV "Frisch Auf" Altenbochum</v>
      </c>
      <c r="E40" s="143"/>
      <c r="F40" s="143"/>
      <c r="G40" s="143"/>
      <c r="H40" s="143"/>
      <c r="I40" s="144"/>
      <c r="J40" s="136"/>
      <c r="K40" s="145">
        <f>IF(ISERROR(VLOOKUP($A$3&amp;TEXT($A40,"00"),Sonntag!$A$24:$X$205,16,FALSE)),"",VLOOKUP($A$3&amp;TEXT($A40,"00"),Sonntag!$A$24:$X$205,16,FALSE))</f>
        <v>39</v>
      </c>
      <c r="L40" s="146" t="s">
        <v>22</v>
      </c>
      <c r="M40" s="147">
        <f>IF(ISERROR(VLOOKUP($A$3&amp;TEXT($A40,"00"),Sonntag!$A$24:$X$205,18,FALSE)),"",VLOOKUP($A$3&amp;TEXT($A40,"00"),Sonntag!$A$24:$X$205,18,FALSE))</f>
        <v>19</v>
      </c>
      <c r="N40" s="148"/>
      <c r="O40" s="149"/>
      <c r="P40" s="71"/>
    </row>
    <row r="41" spans="2:14" ht="4.5" customHeight="1">
      <c r="B41" s="132"/>
      <c r="C41" s="57"/>
      <c r="D41" s="132"/>
      <c r="E41" s="150"/>
      <c r="F41" s="151"/>
      <c r="G41" s="150"/>
      <c r="H41" s="150"/>
      <c r="I41" s="150"/>
      <c r="J41" s="150"/>
      <c r="K41" s="152"/>
      <c r="M41" s="153"/>
      <c r="N41" s="33"/>
    </row>
    <row r="42" spans="1:15" ht="17.25" customHeight="1">
      <c r="A42" s="33" t="s">
        <v>199</v>
      </c>
      <c r="B42" s="3" t="s">
        <v>26</v>
      </c>
      <c r="C42" s="141" t="str">
        <f>"4."&amp;+$D$22&amp;"  5."&amp;+$D$4</f>
        <v>4.Gruppe D  5.Gruppe C</v>
      </c>
      <c r="D42" s="142" t="str">
        <f>IF($Y$31="","",(IF(ISERROR(VLOOKUP($A$3&amp;TEXT($A42,"00"),Sonntag!$A$24:$X$205,8,FALSE)),"",VLOOKUP($A$3&amp;TEXT($A42,"00"),Sonntag!$A$24:$X$205,8,FALSE)))&amp;" : "&amp;IF($Y$31="","",IF(ISERROR(VLOOKUP($A$3&amp;TEXT($A42,"00"),Sonntag!$A$24:$X$205,11,FALSE)),"",VLOOKUP($A$3&amp;TEXT($A42,"00"),Sonntag!$A$24:$X$205,11,FALSE))))</f>
        <v>TSV Marienfelde : Kölner TB</v>
      </c>
      <c r="E42" s="154"/>
      <c r="F42" s="154"/>
      <c r="G42" s="154"/>
      <c r="H42" s="154"/>
      <c r="I42" s="154"/>
      <c r="J42" s="87"/>
      <c r="K42" s="145">
        <f>IF(ISERROR(VLOOKUP($A$3&amp;TEXT($A42,"00"),Sonntag!$A$24:$X$205,16,FALSE)),"",VLOOKUP($A$3&amp;TEXT($A42,"00"),Sonntag!$A$24:$X$205,16,FALSE))</f>
        <v>35</v>
      </c>
      <c r="L42" s="146" t="s">
        <v>22</v>
      </c>
      <c r="M42" s="147">
        <f>IF(ISERROR(VLOOKUP($A$3&amp;TEXT($A42,"00"),Sonntag!$A$24:$X$205,18,FALSE)),"",VLOOKUP($A$3&amp;TEXT($A42,"00"),Sonntag!$A$24:$X$205,18,FALSE))</f>
        <v>31</v>
      </c>
      <c r="N42" s="148"/>
      <c r="O42" s="149"/>
    </row>
    <row r="43" spans="3:23" ht="18" customHeight="1">
      <c r="C43" s="150" t="s">
        <v>158</v>
      </c>
      <c r="D43" s="150"/>
      <c r="E43" s="150"/>
      <c r="F43" s="151"/>
      <c r="G43" s="150"/>
      <c r="H43" s="150"/>
      <c r="I43" s="150"/>
      <c r="J43" s="150"/>
      <c r="K43" s="152"/>
      <c r="M43" s="153"/>
      <c r="N43" s="33"/>
      <c r="Q43" s="132"/>
      <c r="R43" s="132"/>
      <c r="S43" s="132"/>
      <c r="T43" s="132"/>
      <c r="U43" s="132"/>
      <c r="V43" s="132"/>
      <c r="W43" s="132"/>
    </row>
    <row r="44" spans="1:23" ht="17.25" customHeight="1">
      <c r="A44" s="33" t="s">
        <v>201</v>
      </c>
      <c r="C44" s="174" t="str">
        <f>"V."&amp;B40&amp;"/"&amp;B42&amp;"      9./10. Pl."</f>
        <v>V.a/b      9./10. Pl.</v>
      </c>
      <c r="D44" s="142" t="str">
        <f>IF($K$40=0,"",(IF(ISERROR(VLOOKUP($A$3&amp;TEXT($A44,"00"),Sonntag!$A$24:$X$205,8,FALSE)),"",VLOOKUP($A$3&amp;TEXT($A44,"00"),Sonntag!$A$24:$X$205,8,FALSE)))&amp;" : "&amp;IF(ISERROR(VLOOKUP($A$3&amp;TEXT($A44,"00"),Sonntag!$A$24:$X$205,11,FALSE)),"",VLOOKUP($A$3&amp;TEXT($A44,"00"),Sonntag!$A$24:$X$205,11,FALSE)))</f>
        <v>TV "Frisch Auf" Altenbochum : Kölner TB</v>
      </c>
      <c r="E44" s="154"/>
      <c r="F44" s="154"/>
      <c r="G44" s="154"/>
      <c r="H44" s="154"/>
      <c r="I44" s="154"/>
      <c r="J44" s="87"/>
      <c r="K44" s="145">
        <f>IF(ISERROR(VLOOKUP($A$3&amp;TEXT($A44,"00"),Sonntag!$A$24:$X$205,16,FALSE)),"",VLOOKUP($A$3&amp;TEXT($A44,"00"),Sonntag!$A$24:$X$205,16,FALSE))</f>
        <v>27</v>
      </c>
      <c r="L44" s="146" t="s">
        <v>22</v>
      </c>
      <c r="M44" s="147">
        <f>IF(ISERROR(VLOOKUP($A$3&amp;TEXT($A44,"00"),Sonntag!$A$24:$X$205,18,FALSE)),"",VLOOKUP($A$3&amp;TEXT($A44,"00"),Sonntag!$A$24:$X$205,18,FALSE))</f>
        <v>37</v>
      </c>
      <c r="N44" s="33"/>
      <c r="P44" s="38" t="s">
        <v>27</v>
      </c>
      <c r="Q44" s="155"/>
      <c r="R44" s="155"/>
      <c r="S44" s="155"/>
      <c r="T44" s="155"/>
      <c r="U44" s="155"/>
      <c r="V44" s="155"/>
      <c r="W44" s="155"/>
    </row>
    <row r="45" spans="3:23" ht="4.5" customHeight="1">
      <c r="C45" s="175"/>
      <c r="D45" s="150"/>
      <c r="E45" s="150"/>
      <c r="F45" s="150"/>
      <c r="G45" s="150"/>
      <c r="H45" s="150"/>
      <c r="I45" s="151"/>
      <c r="J45" s="150"/>
      <c r="K45" s="152"/>
      <c r="M45" s="153"/>
      <c r="N45" s="33"/>
      <c r="Q45" s="132"/>
      <c r="R45" s="132"/>
      <c r="S45" s="132"/>
      <c r="T45" s="132"/>
      <c r="U45" s="132"/>
      <c r="V45" s="132"/>
      <c r="W45" s="132"/>
    </row>
    <row r="46" spans="1:23" ht="17.25" customHeight="1">
      <c r="A46" s="33" t="s">
        <v>200</v>
      </c>
      <c r="C46" s="174" t="str">
        <f>"S."&amp;B40&amp;"/"&amp;B42&amp;"      7./8. Pl."</f>
        <v>S.a/b      7./8. Pl.</v>
      </c>
      <c r="D46" s="142" t="str">
        <f>IF($K$40=0,"",(IF(ISERROR(VLOOKUP($A$3&amp;TEXT($A46,"00"),Sonntag!$A$24:$X$205,8,FALSE)),"",VLOOKUP($A$3&amp;TEXT($A46,"00"),Sonntag!$A$24:$X$205,8,FALSE)))&amp;" : "&amp;IF($M$40="","",IF(ISERROR(VLOOKUP($A$3&amp;TEXT($A46,"00"),Sonntag!$A$24:$X$205,11,FALSE)),"",VLOOKUP($A$3&amp;TEXT($A46,"00"),Sonntag!$A$24:$X$205,11,FALSE))))</f>
        <v>TSV Ohorn : TSV Marienfelde</v>
      </c>
      <c r="E46" s="143"/>
      <c r="F46" s="144"/>
      <c r="G46" s="143"/>
      <c r="H46" s="143"/>
      <c r="I46" s="143"/>
      <c r="J46" s="136"/>
      <c r="K46" s="145">
        <f>IF(ISERROR(VLOOKUP($A$3&amp;TEXT($A46,"00"),Sonntag!$A$24:$X$205,16,FALSE)),"",VLOOKUP($A$3&amp;TEXT($A46,"00"),Sonntag!$A$24:$X$205,16,FALSE))</f>
        <v>39</v>
      </c>
      <c r="L46" s="146" t="s">
        <v>22</v>
      </c>
      <c r="M46" s="147">
        <f>IF(ISERROR(VLOOKUP($A$3&amp;TEXT($A46,"00"),Sonntag!$A$24:$X$205,18,FALSE)),"",VLOOKUP($A$3&amp;TEXT($A46,"00"),Sonntag!$A$24:$X$205,18,FALSE))</f>
        <v>19</v>
      </c>
      <c r="N46" s="33"/>
      <c r="P46" s="157">
        <v>1</v>
      </c>
      <c r="Q46" s="158" t="str">
        <f>IF(K60=0,""," "&amp;IF(M60&lt;K60,IF(ISERROR(VLOOKUP($A$3&amp;TEXT($A60,"00"),Sonntag!$A$24:$X$205,8,FALSE)),"",VLOOKUP($A$3&amp;TEXT($A60,"00"),Sonntag!$A$24:$X$205,8,FALSE)),IF(M60&gt;K60,IF(ISERROR(VLOOKUP($A$3&amp;TEXT($A60,"00"),Sonntag!$A$24:$X$205,11,FALSE)),"",VLOOKUP($A$3&amp;TEXT($A60,"00"),Sonntag!$A$24:$X$205,11,FALSE)))))</f>
        <v> SV Weiler</v>
      </c>
      <c r="R46" s="159"/>
      <c r="S46" s="159"/>
      <c r="T46" s="159"/>
      <c r="U46" s="159"/>
      <c r="V46" s="159"/>
      <c r="W46" s="160"/>
    </row>
    <row r="47" spans="3:23" ht="18" customHeight="1">
      <c r="C47" s="150" t="s">
        <v>28</v>
      </c>
      <c r="D47" s="150"/>
      <c r="E47" s="150"/>
      <c r="F47" s="150"/>
      <c r="G47" s="150"/>
      <c r="H47" s="150"/>
      <c r="I47" s="151"/>
      <c r="J47" s="150"/>
      <c r="K47" s="152"/>
      <c r="M47" s="153"/>
      <c r="N47" s="33"/>
      <c r="P47" s="161">
        <v>2</v>
      </c>
      <c r="Q47" s="158" t="str">
        <f>IF(K60=0,""," "&amp;IF(M60&lt;K60,IF(ISERROR(VLOOKUP($A$3&amp;TEXT($A60,"00"),Sonntag!$A$24:$X$205,11,FALSE)),"",VLOOKUP($A$3&amp;TEXT($A60,"00"),Sonntag!$A$24:$X$205,11,FALSE)),IF(M60&gt;K60,IF(ISERROR(VLOOKUP($A$3&amp;TEXT($A60,"00"),Sonntag!$A$24:$X$205,8,FALSE)),"",VLOOKUP($A$3&amp;TEXT($A60,"00"),Sonntag!$A$24:$X$205,8,FALSE)))))</f>
        <v> TV Reutin</v>
      </c>
      <c r="R47" s="71"/>
      <c r="S47" s="71"/>
      <c r="T47" s="71"/>
      <c r="U47" s="71"/>
      <c r="V47" s="71"/>
      <c r="W47" s="162"/>
    </row>
    <row r="48" spans="1:23" ht="17.25" customHeight="1">
      <c r="A48" s="33" t="s">
        <v>202</v>
      </c>
      <c r="B48" s="3" t="s">
        <v>29</v>
      </c>
      <c r="C48" s="141" t="str">
        <f>"2."&amp;+$D$4&amp;"  3."&amp;+$D$22</f>
        <v>2.Gruppe C  3.Gruppe D</v>
      </c>
      <c r="D48" s="142" t="str">
        <f>IF($Y$31="","",(IF(ISERROR(VLOOKUP($A$3&amp;TEXT($A48,"00"),Sonntag!$A$24:$X$205,8,FALSE)),"",VLOOKUP($A$3&amp;TEXT($A48,"00"),Sonntag!$A$24:$X$205,8,FALSE)))&amp;" : "&amp;IF($Y$31="","",IF(ISERROR(VLOOKUP($A$3&amp;TEXT($A48,"00"),Sonntag!$A$24:$X$205,11,FALSE)),"",VLOOKUP($A$3&amp;TEXT($A48,"00"),Sonntag!$A$24:$X$205,11,FALSE))))</f>
        <v>PV Gundernhausen : SV Werder Bremen</v>
      </c>
      <c r="E48" s="143"/>
      <c r="F48" s="144"/>
      <c r="G48" s="143"/>
      <c r="H48" s="143"/>
      <c r="I48" s="143"/>
      <c r="J48" s="136"/>
      <c r="K48" s="145">
        <f>IF(ISERROR(VLOOKUP($A$3&amp;TEXT($A48,"00"),Sonntag!$A$24:$X$205,16,FALSE)),"",VLOOKUP($A$3&amp;TEXT($A48,"00"),Sonntag!$A$24:$X$205,16,FALSE))</f>
        <v>41</v>
      </c>
      <c r="L48" s="146" t="s">
        <v>22</v>
      </c>
      <c r="M48" s="147">
        <f>IF(ISERROR(VLOOKUP($A$3&amp;TEXT($A48,"00"),Sonntag!$A$24:$X$205,18,FALSE)),"",VLOOKUP($A$3&amp;TEXT($A48,"00"),Sonntag!$A$24:$X$205,18,FALSE))</f>
        <v>25</v>
      </c>
      <c r="N48" s="33"/>
      <c r="P48" s="161">
        <v>3</v>
      </c>
      <c r="Q48" s="163" t="str">
        <f>IF(K58=0,""," "&amp;IF(M$58&gt;K$58,IF(ISERROR(VLOOKUP($A$3&amp;TEXT($A58,"00"),Sonntag!$A$24:$X$205,11,FALSE)),"",VLOOKUP($A$3&amp;TEXT($A58,"00"),Sonntag!$A$24:$X$205,11,FALSE)),IF(M$58&lt;K$58,IF(ISERROR(VLOOKUP($A$3&amp;TEXT($A58,"00"),Sonntag!$A$24:$X$205,8,FALSE)),"",VLOOKUP($A$3&amp;TEXT($A58,"00"),Sonntag!$A$24:$X$205,8,FALSE)))))</f>
        <v> PV Gundernhausen</v>
      </c>
      <c r="R48" s="71"/>
      <c r="S48" s="71"/>
      <c r="T48" s="71"/>
      <c r="U48" s="71"/>
      <c r="V48" s="71"/>
      <c r="W48" s="162"/>
    </row>
    <row r="49" spans="3:23" ht="4.5" customHeight="1">
      <c r="C49" s="150"/>
      <c r="D49" s="150"/>
      <c r="E49" s="150"/>
      <c r="F49" s="150"/>
      <c r="G49" s="150"/>
      <c r="H49" s="150"/>
      <c r="I49" s="150"/>
      <c r="J49" s="150"/>
      <c r="K49" s="152"/>
      <c r="M49" s="153"/>
      <c r="N49" s="33"/>
      <c r="P49" s="161"/>
      <c r="Q49" s="71"/>
      <c r="R49" s="71"/>
      <c r="S49" s="71"/>
      <c r="T49" s="71"/>
      <c r="U49" s="71"/>
      <c r="V49" s="71"/>
      <c r="W49" s="162"/>
    </row>
    <row r="50" spans="1:23" ht="17.25" customHeight="1">
      <c r="A50" s="33" t="s">
        <v>203</v>
      </c>
      <c r="B50" s="3" t="s">
        <v>30</v>
      </c>
      <c r="C50" s="141" t="str">
        <f>"2."&amp;+$D$22&amp;"  3."&amp;+$D$4</f>
        <v>2.Gruppe D  3.Gruppe C</v>
      </c>
      <c r="D50" s="142" t="str">
        <f>IF($Y$31="","",(IF(ISERROR(VLOOKUP($A$3&amp;TEXT($A50,"00"),Sonntag!$A$24:$X$205,8,FALSE)),"",VLOOKUP($A$3&amp;TEXT($A50,"00"),Sonntag!$A$24:$X$205,8,FALSE)))&amp;" : "&amp;IF($Y$31="","",IF(ISERROR(VLOOKUP($A$3&amp;TEXT($A50,"00"),Sonntag!$A$24:$X$205,11,FALSE)),"",VLOOKUP($A$3&amp;TEXT($A50,"00"),Sonntag!$A$24:$X$205,11,FALSE))))</f>
        <v>TV Reutin : MTV Eiche Schönebeck</v>
      </c>
      <c r="E50" s="143"/>
      <c r="F50" s="143"/>
      <c r="G50" s="143"/>
      <c r="H50" s="143"/>
      <c r="I50" s="144"/>
      <c r="J50" s="136"/>
      <c r="K50" s="145">
        <f>IF(ISERROR(VLOOKUP($A$3&amp;TEXT($A50,"00"),Sonntag!$A$24:$X$205,16,FALSE)),"",VLOOKUP($A$3&amp;TEXT($A50,"00"),Sonntag!$A$24:$X$205,16,FALSE))</f>
        <v>38</v>
      </c>
      <c r="L50" s="146" t="s">
        <v>22</v>
      </c>
      <c r="M50" s="147">
        <f>IF(ISERROR(VLOOKUP($A$3&amp;TEXT($A50,"00"),Sonntag!$A$24:$X$205,18,FALSE)),"",VLOOKUP($A$3&amp;TEXT($A50,"00"),Sonntag!$A$24:$X$205,18,FALSE))</f>
        <v>27</v>
      </c>
      <c r="N50" s="33"/>
      <c r="P50" s="161">
        <v>4</v>
      </c>
      <c r="Q50" s="163" t="str">
        <f>IF(K58=0,""," "&amp;IF(M$58&lt;K$58,IF(ISERROR(VLOOKUP($A$3&amp;TEXT($A58,"00"),Sonntag!$A$24:$X$205,11,FALSE)),"",VLOOKUP($A$3&amp;TEXT($A58,"00"),Sonntag!$A$24:$X$205,11,FALSE)),IF(M$58&gt;K$58,IF(ISERROR(VLOOKUP($A$3&amp;TEXT($A58,"00"),Sonntag!$A$24:$X$205,8,FALSE)),"",VLOOKUP($A$3&amp;TEXT($A58,"00"),Sonntag!$A$24:$X$205,8,FALSE)))))</f>
        <v> VfL Waiblingen</v>
      </c>
      <c r="R50" s="71"/>
      <c r="S50" s="71"/>
      <c r="T50" s="71"/>
      <c r="U50" s="71"/>
      <c r="V50" s="71"/>
      <c r="W50" s="162"/>
    </row>
    <row r="51" spans="3:23" ht="18" customHeight="1">
      <c r="C51" s="176" t="s">
        <v>31</v>
      </c>
      <c r="D51" s="150"/>
      <c r="E51" s="150"/>
      <c r="F51" s="150"/>
      <c r="G51" s="150"/>
      <c r="H51" s="150"/>
      <c r="I51" s="150"/>
      <c r="J51" s="150"/>
      <c r="K51" s="152"/>
      <c r="M51" s="153"/>
      <c r="N51" s="33"/>
      <c r="P51" s="161">
        <v>5</v>
      </c>
      <c r="Q51" s="163" t="str">
        <f>IF(K56=0,""," "&amp;IF(M$56&gt;K$56,IF(ISERROR(VLOOKUP($A$3&amp;TEXT($A56,"00"),Sonntag!$A$24:$X$205,11,FALSE)),"",VLOOKUP($A$3&amp;TEXT($A56,"00"),Sonntag!$A$24:$X$205,11,FALSE)),IF(M$56&lt;K$56,IF(ISERROR(VLOOKUP($A$3&amp;TEXT($A56,"00"),Sonntag!$A$24:$X$205,8,FALSE)),"",VLOOKUP($A$3&amp;TEXT($A56,"00"),Sonntag!$A$24:$X$205,8,FALSE)))))</f>
        <v> MTV Eiche Schönebeck</v>
      </c>
      <c r="R51" s="71"/>
      <c r="S51" s="71"/>
      <c r="T51" s="71"/>
      <c r="U51" s="71"/>
      <c r="V51" s="71"/>
      <c r="W51" s="162"/>
    </row>
    <row r="52" spans="1:23" ht="17.25" customHeight="1">
      <c r="A52" s="33" t="s">
        <v>204</v>
      </c>
      <c r="B52" s="3" t="s">
        <v>32</v>
      </c>
      <c r="C52" s="141" t="str">
        <f>"1."&amp;+$D$4&amp;"  Sieger "&amp;+$B$50</f>
        <v>1.Gruppe C  Sieger d</v>
      </c>
      <c r="D52" s="142" t="str">
        <f>IF($Y$31="","",(IF(ISERROR(VLOOKUP($A$3&amp;TEXT($A52,"00"),Sonntag!$A$24:$X$205,8,FALSE)),"",VLOOKUP($A$3&amp;TEXT($A52,"00"),Sonntag!$A$24:$X$205,8,FALSE)))&amp;" : "&amp;IF($K$50="","",IF(ISERROR(VLOOKUP($A$3&amp;TEXT($A52,"00"),Sonntag!$A$24:$X$205,11,FALSE)),"",VLOOKUP($A$3&amp;TEXT($A52,"00"),Sonntag!$A$24:$X$205,11,FALSE))))</f>
        <v>VfL Waiblingen : TV Reutin</v>
      </c>
      <c r="E52" s="143"/>
      <c r="F52" s="143"/>
      <c r="G52" s="143"/>
      <c r="H52" s="143"/>
      <c r="I52" s="144"/>
      <c r="J52" s="136"/>
      <c r="K52" s="145">
        <f>IF(ISERROR(VLOOKUP($A$3&amp;TEXT($A52,"00"),Sonntag!$A$24:$X$205,16,FALSE)),"",VLOOKUP($A$3&amp;TEXT($A52,"00"),Sonntag!$A$24:$X$205,16,FALSE))</f>
        <v>34</v>
      </c>
      <c r="L52" s="146" t="s">
        <v>22</v>
      </c>
      <c r="M52" s="147">
        <f>IF(ISERROR(VLOOKUP($A$3&amp;TEXT($A52,"00"),Sonntag!$A$24:$X$205,18,FALSE)),"",VLOOKUP($A$3&amp;TEXT($A52,"00"),Sonntag!$A$24:$X$205,18,FALSE))</f>
        <v>47</v>
      </c>
      <c r="N52" s="33"/>
      <c r="P52" s="161">
        <v>6</v>
      </c>
      <c r="Q52" s="163" t="str">
        <f>IF(K56=0,""," "&amp;IF(M$56&lt;K$56,IF(ISERROR(VLOOKUP($A$3&amp;TEXT($A56,"00"),Sonntag!$A$24:$X$205,11,FALSE)),"",VLOOKUP($A$3&amp;TEXT($A56,"00"),Sonntag!$A$24:$X$205,11,FALSE)),IF(M$56&gt;K$56,IF(ISERROR(VLOOKUP($A$3&amp;TEXT($A56,"00"),Sonntag!$A$24:$X$205,8,FALSE)),"",VLOOKUP($A$3&amp;TEXT($A56,"00"),Sonntag!$A$24:$X$205,8,FALSE)))))</f>
        <v> SV Werder Bremen</v>
      </c>
      <c r="R52" s="71"/>
      <c r="S52" s="71"/>
      <c r="T52" s="71"/>
      <c r="U52" s="71"/>
      <c r="V52" s="71"/>
      <c r="W52" s="162"/>
    </row>
    <row r="53" spans="3:23" ht="4.5" customHeight="1">
      <c r="C53" s="151"/>
      <c r="D53" s="150"/>
      <c r="E53" s="150"/>
      <c r="F53" s="151"/>
      <c r="G53" s="150"/>
      <c r="H53" s="150"/>
      <c r="I53" s="150"/>
      <c r="J53" s="150"/>
      <c r="K53" s="152"/>
      <c r="M53" s="153"/>
      <c r="N53" s="33"/>
      <c r="P53" s="161"/>
      <c r="Q53" s="71"/>
      <c r="R53" s="71"/>
      <c r="S53" s="71"/>
      <c r="T53" s="71"/>
      <c r="U53" s="71"/>
      <c r="V53" s="71"/>
      <c r="W53" s="162"/>
    </row>
    <row r="54" spans="1:23" ht="17.25" customHeight="1">
      <c r="A54" s="33" t="s">
        <v>205</v>
      </c>
      <c r="B54" s="3" t="s">
        <v>33</v>
      </c>
      <c r="C54" s="141" t="str">
        <f>"1."&amp;+$D$22&amp;"  Sieger "&amp;+$B$48</f>
        <v>1.Gruppe D  Sieger c</v>
      </c>
      <c r="D54" s="142" t="str">
        <f>IF($Y$31="","",(IF(ISERROR(VLOOKUP($A$3&amp;TEXT($A54,"00"),Sonntag!$A$24:$X$205,8,FALSE)),"",VLOOKUP($A$3&amp;TEXT($A54,"00"),Sonntag!$A$24:$X$205,8,FALSE)))&amp;" : "&amp;IF($K$48="","",IF(ISERROR(VLOOKUP($A$3&amp;TEXT($A54,"00"),Sonntag!$A$24:$X$205,11,FALSE)),"",VLOOKUP($A$3&amp;TEXT($A54,"00"),Sonntag!$A$24:$X$205,11,FALSE))))</f>
        <v>SV Weiler : PV Gundernhausen</v>
      </c>
      <c r="E54" s="143"/>
      <c r="F54" s="143"/>
      <c r="G54" s="143"/>
      <c r="H54" s="143"/>
      <c r="I54" s="143"/>
      <c r="J54" s="136"/>
      <c r="K54" s="145">
        <f>IF(ISERROR(VLOOKUP($A$3&amp;TEXT($A54,"00"),Sonntag!$A$24:$X$205,16,FALSE)),"",VLOOKUP($A$3&amp;TEXT($A54,"00"),Sonntag!$A$24:$X$205,16,FALSE))</f>
        <v>35</v>
      </c>
      <c r="L54" s="146" t="s">
        <v>22</v>
      </c>
      <c r="M54" s="147">
        <f>IF(ISERROR(VLOOKUP($A$3&amp;TEXT($A54,"00"),Sonntag!$A$24:$X$205,18,FALSE)),"",VLOOKUP($A$3&amp;TEXT($A54,"00"),Sonntag!$A$24:$X$205,18,FALSE))</f>
        <v>30</v>
      </c>
      <c r="N54" s="33"/>
      <c r="P54" s="161">
        <v>7</v>
      </c>
      <c r="Q54" s="163" t="str">
        <f>IF(K46=0,""," "&amp;IF(M$46&gt;K$46,IF(ISERROR(VLOOKUP($A$3&amp;TEXT($A46,"00"),Sonntag!$A$24:$X$205,11,FALSE)),"",VLOOKUP($A$3&amp;TEXT($A46,"00"),Sonntag!$A$24:$X$205,11,FALSE)),IF(M$46&lt;K$46,IF(ISERROR(VLOOKUP($A$3&amp;TEXT($A46,"00"),Sonntag!$A$24:$X$205,8,FALSE)),"",VLOOKUP($A$3&amp;TEXT($A46,"00"),Sonntag!$A$24:$X$205,8,FALSE)))))</f>
        <v> TSV Ohorn</v>
      </c>
      <c r="R54" s="71"/>
      <c r="S54" s="71"/>
      <c r="T54" s="71"/>
      <c r="U54" s="71"/>
      <c r="V54" s="71"/>
      <c r="W54" s="162"/>
    </row>
    <row r="55" spans="3:23" ht="18" customHeight="1">
      <c r="C55" s="164" t="s">
        <v>159</v>
      </c>
      <c r="D55" s="150"/>
      <c r="E55" s="150"/>
      <c r="F55" s="151"/>
      <c r="G55" s="150"/>
      <c r="H55" s="150"/>
      <c r="I55" s="150"/>
      <c r="J55" s="150"/>
      <c r="K55" s="152"/>
      <c r="M55" s="153"/>
      <c r="N55" s="33"/>
      <c r="P55" s="161">
        <v>8</v>
      </c>
      <c r="Q55" s="163" t="str">
        <f>IF(K46=0,""," "&amp;IF(M$46&lt;K$46,IF(ISERROR(VLOOKUP($A$3&amp;TEXT($A46,"00"),Sonntag!$A$24:$X$205,11,FALSE)),"",VLOOKUP($A$3&amp;TEXT($A46,"00"),Sonntag!$A$24:$X$205,11,FALSE)),IF(M$46&gt;K$46,IF(ISERROR(VLOOKUP($A$3&amp;TEXT($A46,"00"),Sonntag!$A$24:$X$205,8,FALSE)),"",VLOOKUP($A$3&amp;TEXT($A46,"00"),Sonntag!$A$24:$X$205,8,FALSE)))))</f>
        <v> TSV Marienfelde</v>
      </c>
      <c r="R55" s="71"/>
      <c r="S55" s="71"/>
      <c r="T55" s="71"/>
      <c r="U55" s="71"/>
      <c r="V55" s="71"/>
      <c r="W55" s="162"/>
    </row>
    <row r="56" spans="1:23" ht="17.25" customHeight="1">
      <c r="A56" s="33" t="s">
        <v>216</v>
      </c>
      <c r="C56" s="174" t="str">
        <f>"V."&amp;B48&amp;"/"&amp;B50&amp;"         5./6. Pl."</f>
        <v>V.c/d         5./6. Pl.</v>
      </c>
      <c r="D56" s="142" t="str">
        <f>IF($K$52=0,"",(IF(ISERROR(VLOOKUP($A$3&amp;TEXT($A56,"00"),Sonntag!$A$24:$X$205,8,FALSE)),"",VLOOKUP($A$3&amp;TEXT($A56,"00"),Sonntag!$A$24:$X$205,8,FALSE)))&amp;" : "&amp;IF(ISERROR(VLOOKUP($A$3&amp;TEXT($A56,"00"),Sonntag!$A$24:$X$205,11,FALSE)),"",VLOOKUP($A$3&amp;TEXT($A56,"00"),Sonntag!$A$24:$X$205,11,FALSE)))</f>
        <v>SV Werder Bremen : MTV Eiche Schönebeck</v>
      </c>
      <c r="E56" s="143"/>
      <c r="F56" s="143"/>
      <c r="G56" s="143"/>
      <c r="H56" s="143"/>
      <c r="I56" s="143"/>
      <c r="J56" s="136"/>
      <c r="K56" s="145">
        <f>IF(ISERROR(VLOOKUP($A$3&amp;TEXT($A56,"00"),Sonntag!$A$24:$X$205,16,FALSE)),"",VLOOKUP($A$3&amp;TEXT($A56,"00"),Sonntag!$A$24:$X$205,16,FALSE))</f>
        <v>28</v>
      </c>
      <c r="L56" s="146" t="s">
        <v>22</v>
      </c>
      <c r="M56" s="147">
        <f>IF(ISERROR(VLOOKUP($A$3&amp;TEXT($A56,"00"),Sonntag!$A$24:$X$205,18,FALSE)),"",VLOOKUP($A$3&amp;TEXT($A56,"00"),Sonntag!$A$24:$X$205,18,FALSE))</f>
        <v>42</v>
      </c>
      <c r="N56" s="33"/>
      <c r="P56" s="161">
        <v>9</v>
      </c>
      <c r="Q56" s="163" t="str">
        <f>IF(K44=0,""," "&amp;IF(M$44&gt;K$44,IF(ISERROR(VLOOKUP($A$3&amp;TEXT($A44,"00"),Sonntag!$A$24:$X$205,11,FALSE)),"",VLOOKUP($A$3&amp;TEXT($A44,"00"),Sonntag!$A$24:$X$205,11,FALSE)),IF(M$44&lt;K$44,IF(ISERROR(VLOOKUP($A$3&amp;TEXT($A44,"00"),Sonntag!$A$24:$X$205,8,FALSE)),"",VLOOKUP($A$3&amp;TEXT($A44,"00"),Sonntag!$A$24:$X$205,8,FALSE)))))</f>
        <v> Kölner TB</v>
      </c>
      <c r="R56" s="71"/>
      <c r="S56" s="71"/>
      <c r="T56" s="71"/>
      <c r="U56" s="71"/>
      <c r="V56" s="71"/>
      <c r="W56" s="162"/>
    </row>
    <row r="57" spans="3:23" ht="4.5" customHeight="1">
      <c r="C57" s="150"/>
      <c r="D57" s="150"/>
      <c r="E57" s="150"/>
      <c r="F57" s="150"/>
      <c r="G57" s="150"/>
      <c r="H57" s="150"/>
      <c r="I57" s="151"/>
      <c r="J57" s="150"/>
      <c r="K57" s="152"/>
      <c r="M57" s="153"/>
      <c r="N57" s="33"/>
      <c r="P57" s="161"/>
      <c r="Q57" s="71"/>
      <c r="R57" s="71"/>
      <c r="S57" s="71"/>
      <c r="T57" s="71"/>
      <c r="U57" s="71"/>
      <c r="V57" s="71"/>
      <c r="W57" s="162"/>
    </row>
    <row r="58" spans="1:23" ht="17.25" customHeight="1">
      <c r="A58" s="33" t="s">
        <v>206</v>
      </c>
      <c r="C58" s="174" t="str">
        <f>"V."&amp;B52&amp;"/"&amp;B54&amp;"         3./4. Pl."</f>
        <v>V.e/f         3./4. Pl.</v>
      </c>
      <c r="D58" s="142" t="str">
        <f>IF($K$52=0,"",(IF(ISERROR(VLOOKUP($A$3&amp;TEXT($A58,"00"),Sonntag!$A$24:$X$205,8,FALSE)),"",VLOOKUP($A$3&amp;TEXT($A58,"00"),Sonntag!$A$24:$X$205,8,FALSE)))&amp;" : "&amp;IF(ISERROR(VLOOKUP($A$3&amp;TEXT($A58,"00"),Sonntag!$A$24:$X$205,11,FALSE)),"",VLOOKUP($A$3&amp;TEXT($A58,"00"),Sonntag!$A$24:$X$205,11,FALSE)))</f>
        <v>PV Gundernhausen : VfL Waiblingen</v>
      </c>
      <c r="E58" s="143"/>
      <c r="F58" s="144"/>
      <c r="G58" s="143"/>
      <c r="H58" s="143"/>
      <c r="I58" s="143"/>
      <c r="J58" s="136"/>
      <c r="K58" s="145">
        <f>IF(ISERROR(VLOOKUP($A$3&amp;TEXT($A58,"00"),Sonntag!$A$24:$X$205,16,FALSE)),"",VLOOKUP($A$3&amp;TEXT($A58,"00"),Sonntag!$A$24:$X$205,16,FALSE))</f>
        <v>51</v>
      </c>
      <c r="L58" s="146" t="s">
        <v>22</v>
      </c>
      <c r="M58" s="147">
        <f>IF(ISERROR(VLOOKUP($A$3&amp;TEXT($A58,"00"),Sonntag!$A$24:$X$205,18,FALSE)),"",VLOOKUP($A$3&amp;TEXT($A58,"00"),Sonntag!$A$24:$X$205,18,FALSE))</f>
        <v>49</v>
      </c>
      <c r="N58" s="33"/>
      <c r="P58" s="165">
        <v>10</v>
      </c>
      <c r="Q58" s="166" t="str">
        <f>IF(K44=0,""," "&amp;IF(M$44&lt;K$44,IF(ISERROR(VLOOKUP($A$3&amp;TEXT($A44,"00"),Sonntag!$A$24:$X$205,11,FALSE)),"",VLOOKUP($A$3&amp;TEXT($A44,"00"),Sonntag!$A$24:$X$205,11,FALSE)),IF(M$44&gt;K$44,IF(ISERROR(VLOOKUP($A$3&amp;TEXT($A44,"00"),Sonntag!$A$24:$X$205,8,FALSE)),"",VLOOKUP($A$3&amp;TEXT($A44,"00"),Sonntag!$A$24:$X$205,8,FALSE)))))</f>
        <v> TV "Frisch Auf" Altenbochum</v>
      </c>
      <c r="R58" s="167"/>
      <c r="S58" s="167"/>
      <c r="T58" s="167"/>
      <c r="U58" s="167"/>
      <c r="V58" s="167"/>
      <c r="W58" s="168"/>
    </row>
    <row r="59" spans="3:14" ht="18" customHeight="1">
      <c r="C59" s="104" t="s">
        <v>34</v>
      </c>
      <c r="D59" s="132"/>
      <c r="E59" s="150"/>
      <c r="F59" s="150"/>
      <c r="G59" s="150"/>
      <c r="H59" s="132"/>
      <c r="I59" s="169"/>
      <c r="J59" s="132"/>
      <c r="K59" s="152"/>
      <c r="M59" s="153"/>
      <c r="N59" s="33"/>
    </row>
    <row r="60" spans="1:14" ht="17.25" customHeight="1">
      <c r="A60" s="33" t="s">
        <v>207</v>
      </c>
      <c r="C60" s="174" t="str">
        <f>"S."&amp;B52&amp;"/"&amp;B54&amp;"         1./2. Pl."</f>
        <v>S.e/f         1./2. Pl.</v>
      </c>
      <c r="D60" s="142" t="str">
        <f>IF($K$52=0,"",(IF(ISERROR(VLOOKUP($A$3&amp;TEXT($A60,"00"),Sonntag!$A$24:$X$205,8,FALSE)),"",VLOOKUP($A$3&amp;TEXT($A60,"00"),Sonntag!$A$24:$X$205,8,FALSE)))&amp;" : "&amp;IF(ISERROR(VLOOKUP($A$3&amp;TEXT($A60,"00"),Sonntag!$A$24:$X$205,11,FALSE)),"",VLOOKUP($A$3&amp;TEXT($A60,"00"),Sonntag!$A$24:$X$205,11,FALSE)))</f>
        <v>SV Weiler : TV Reutin</v>
      </c>
      <c r="E60" s="154"/>
      <c r="F60" s="170"/>
      <c r="G60" s="154"/>
      <c r="H60" s="143"/>
      <c r="I60" s="143"/>
      <c r="J60" s="136"/>
      <c r="K60" s="145">
        <f>IF(ISERROR(VLOOKUP($A$3&amp;TEXT($A60,"00"),Sonntag!$A$24:$X$205,16,FALSE)),"",VLOOKUP($A$3&amp;TEXT($A60,"00"),Sonntag!$A$24:$X$205,16,FALSE))</f>
        <v>34</v>
      </c>
      <c r="L60" s="146" t="s">
        <v>22</v>
      </c>
      <c r="M60" s="147">
        <f>IF(ISERROR(VLOOKUP($A$3&amp;TEXT($A60,"00"),Sonntag!$A$24:$X$205,18,FALSE)),"",VLOOKUP($A$3&amp;TEXT($A60,"00"),Sonntag!$A$24:$X$205,18,FALSE))</f>
        <v>32</v>
      </c>
      <c r="N60" s="33"/>
    </row>
  </sheetData>
  <sheetProtection/>
  <conditionalFormatting sqref="P5">
    <cfRule type="cellIs" priority="123" dxfId="0" operator="lessThan" stopIfTrue="1">
      <formula>1</formula>
    </cfRule>
  </conditionalFormatting>
  <conditionalFormatting sqref="N7">
    <cfRule type="cellIs" priority="122" dxfId="0" operator="lessThan" stopIfTrue="1">
      <formula>1</formula>
    </cfRule>
  </conditionalFormatting>
  <conditionalFormatting sqref="P7">
    <cfRule type="cellIs" priority="121" dxfId="0" operator="lessThan" stopIfTrue="1">
      <formula>1</formula>
    </cfRule>
  </conditionalFormatting>
  <conditionalFormatting sqref="N9">
    <cfRule type="cellIs" priority="120" dxfId="0" operator="lessThan" stopIfTrue="1">
      <formula>1</formula>
    </cfRule>
  </conditionalFormatting>
  <conditionalFormatting sqref="P9">
    <cfRule type="cellIs" priority="119" dxfId="0" operator="lessThan" stopIfTrue="1">
      <formula>1</formula>
    </cfRule>
  </conditionalFormatting>
  <conditionalFormatting sqref="Q5">
    <cfRule type="cellIs" priority="118" dxfId="0" operator="lessThan" stopIfTrue="1">
      <formula>1</formula>
    </cfRule>
  </conditionalFormatting>
  <conditionalFormatting sqref="Q7">
    <cfRule type="cellIs" priority="116" dxfId="0" operator="lessThan" stopIfTrue="1">
      <formula>1</formula>
    </cfRule>
  </conditionalFormatting>
  <conditionalFormatting sqref="S7">
    <cfRule type="cellIs" priority="115" dxfId="0" operator="lessThan" stopIfTrue="1">
      <formula>1</formula>
    </cfRule>
  </conditionalFormatting>
  <conditionalFormatting sqref="Q9">
    <cfRule type="cellIs" priority="114" dxfId="0" operator="lessThan" stopIfTrue="1">
      <formula>1</formula>
    </cfRule>
  </conditionalFormatting>
  <conditionalFormatting sqref="S9">
    <cfRule type="cellIs" priority="113" dxfId="0" operator="lessThan" stopIfTrue="1">
      <formula>1</formula>
    </cfRule>
  </conditionalFormatting>
  <conditionalFormatting sqref="Q11">
    <cfRule type="cellIs" priority="112" dxfId="0" operator="lessThan" stopIfTrue="1">
      <formula>1</formula>
    </cfRule>
  </conditionalFormatting>
  <conditionalFormatting sqref="S11">
    <cfRule type="cellIs" priority="111" dxfId="0" operator="lessThan" stopIfTrue="1">
      <formula>1</formula>
    </cfRule>
  </conditionalFormatting>
  <conditionalFormatting sqref="H5">
    <cfRule type="cellIs" priority="110" dxfId="0" operator="lessThan" stopIfTrue="1">
      <formula>1</formula>
    </cfRule>
  </conditionalFormatting>
  <conditionalFormatting sqref="J5">
    <cfRule type="cellIs" priority="109" dxfId="0" operator="lessThan" stopIfTrue="1">
      <formula>1</formula>
    </cfRule>
  </conditionalFormatting>
  <conditionalFormatting sqref="K5">
    <cfRule type="cellIs" priority="106" dxfId="0" operator="lessThan" stopIfTrue="1">
      <formula>1</formula>
    </cfRule>
  </conditionalFormatting>
  <conditionalFormatting sqref="M5">
    <cfRule type="cellIs" priority="105" dxfId="0" operator="lessThan" stopIfTrue="1">
      <formula>1</formula>
    </cfRule>
  </conditionalFormatting>
  <conditionalFormatting sqref="K7">
    <cfRule type="cellIs" priority="104" dxfId="0" operator="lessThan" stopIfTrue="1">
      <formula>1</formula>
    </cfRule>
  </conditionalFormatting>
  <conditionalFormatting sqref="M7">
    <cfRule type="cellIs" priority="103" dxfId="0" operator="lessThan" stopIfTrue="1">
      <formula>1</formula>
    </cfRule>
  </conditionalFormatting>
  <conditionalFormatting sqref="N5">
    <cfRule type="cellIs" priority="100" dxfId="0" operator="lessThan" stopIfTrue="1">
      <formula>1</formula>
    </cfRule>
  </conditionalFormatting>
  <conditionalFormatting sqref="S5">
    <cfRule type="cellIs" priority="87" dxfId="0" operator="lessThan" stopIfTrue="1">
      <formula>1</formula>
    </cfRule>
  </conditionalFormatting>
  <conditionalFormatting sqref="H23">
    <cfRule type="cellIs" priority="72" dxfId="0" operator="lessThan" stopIfTrue="1">
      <formula>1</formula>
    </cfRule>
  </conditionalFormatting>
  <conditionalFormatting sqref="J23">
    <cfRule type="cellIs" priority="71" dxfId="0" operator="lessThan" stopIfTrue="1">
      <formula>1</formula>
    </cfRule>
  </conditionalFormatting>
  <conditionalFormatting sqref="Q47">
    <cfRule type="cellIs" priority="67" dxfId="0" operator="lessThan" stopIfTrue="1">
      <formula>1</formula>
    </cfRule>
  </conditionalFormatting>
  <conditionalFormatting sqref="Q46">
    <cfRule type="cellIs" priority="65" dxfId="0" operator="lessThan" stopIfTrue="1">
      <formula>1</formula>
    </cfRule>
  </conditionalFormatting>
  <conditionalFormatting sqref="Q48">
    <cfRule type="cellIs" priority="63" dxfId="0" operator="lessThan" stopIfTrue="1">
      <formula>1</formula>
    </cfRule>
  </conditionalFormatting>
  <conditionalFormatting sqref="Q50">
    <cfRule type="cellIs" priority="61" dxfId="0" operator="lessThan" stopIfTrue="1">
      <formula>1</formula>
    </cfRule>
  </conditionalFormatting>
  <conditionalFormatting sqref="Q52">
    <cfRule type="cellIs" priority="59" dxfId="0" operator="lessThan" stopIfTrue="1">
      <formula>1</formula>
    </cfRule>
  </conditionalFormatting>
  <conditionalFormatting sqref="Q51">
    <cfRule type="cellIs" priority="57" dxfId="0" operator="lessThan" stopIfTrue="1">
      <formula>1</formula>
    </cfRule>
  </conditionalFormatting>
  <conditionalFormatting sqref="Q55">
    <cfRule type="cellIs" priority="55" dxfId="0" operator="lessThan" stopIfTrue="1">
      <formula>1</formula>
    </cfRule>
  </conditionalFormatting>
  <conditionalFormatting sqref="Q54">
    <cfRule type="cellIs" priority="53" dxfId="0" operator="lessThan" stopIfTrue="1">
      <formula>1</formula>
    </cfRule>
  </conditionalFormatting>
  <conditionalFormatting sqref="Q56">
    <cfRule type="cellIs" priority="51" dxfId="0" operator="lessThan" stopIfTrue="1">
      <formula>1</formula>
    </cfRule>
  </conditionalFormatting>
  <conditionalFormatting sqref="Q58">
    <cfRule type="cellIs" priority="50" dxfId="0" operator="lessThan" stopIfTrue="1">
      <formula>1</formula>
    </cfRule>
  </conditionalFormatting>
  <conditionalFormatting sqref="K40">
    <cfRule type="cellIs" priority="47" dxfId="0" operator="lessThan" stopIfTrue="1">
      <formula>1</formula>
    </cfRule>
  </conditionalFormatting>
  <conditionalFormatting sqref="M40">
    <cfRule type="cellIs" priority="45" dxfId="0" operator="lessThan" stopIfTrue="1">
      <formula>1</formula>
    </cfRule>
  </conditionalFormatting>
  <conditionalFormatting sqref="K42">
    <cfRule type="cellIs" priority="43" dxfId="0" operator="lessThan" stopIfTrue="1">
      <formula>1</formula>
    </cfRule>
  </conditionalFormatting>
  <conditionalFormatting sqref="M42">
    <cfRule type="cellIs" priority="41" dxfId="0" operator="lessThan" stopIfTrue="1">
      <formula>1</formula>
    </cfRule>
  </conditionalFormatting>
  <conditionalFormatting sqref="K44">
    <cfRule type="cellIs" priority="39" dxfId="0" operator="lessThan" stopIfTrue="1">
      <formula>1</formula>
    </cfRule>
  </conditionalFormatting>
  <conditionalFormatting sqref="M44">
    <cfRule type="cellIs" priority="37" dxfId="0" operator="lessThan" stopIfTrue="1">
      <formula>1</formula>
    </cfRule>
  </conditionalFormatting>
  <conditionalFormatting sqref="K46">
    <cfRule type="cellIs" priority="35" dxfId="0" operator="lessThan" stopIfTrue="1">
      <formula>1</formula>
    </cfRule>
  </conditionalFormatting>
  <conditionalFormatting sqref="M46">
    <cfRule type="cellIs" priority="33" dxfId="0" operator="lessThan" stopIfTrue="1">
      <formula>1</formula>
    </cfRule>
  </conditionalFormatting>
  <conditionalFormatting sqref="K44">
    <cfRule type="cellIs" priority="31" dxfId="0" operator="lessThan" stopIfTrue="1">
      <formula>1</formula>
    </cfRule>
  </conditionalFormatting>
  <conditionalFormatting sqref="M44">
    <cfRule type="cellIs" priority="29" dxfId="0" operator="lessThan" stopIfTrue="1">
      <formula>1</formula>
    </cfRule>
  </conditionalFormatting>
  <conditionalFormatting sqref="K48">
    <cfRule type="cellIs" priority="27" dxfId="0" operator="lessThan" stopIfTrue="1">
      <formula>1</formula>
    </cfRule>
  </conditionalFormatting>
  <conditionalFormatting sqref="M48">
    <cfRule type="cellIs" priority="25" dxfId="0" operator="lessThan" stopIfTrue="1">
      <formula>1</formula>
    </cfRule>
  </conditionalFormatting>
  <conditionalFormatting sqref="K50">
    <cfRule type="cellIs" priority="24" dxfId="0" operator="lessThan" stopIfTrue="1">
      <formula>1</formula>
    </cfRule>
  </conditionalFormatting>
  <conditionalFormatting sqref="M50">
    <cfRule type="cellIs" priority="21" dxfId="0" operator="lessThan" stopIfTrue="1">
      <formula>1</formula>
    </cfRule>
  </conditionalFormatting>
  <conditionalFormatting sqref="K52">
    <cfRule type="cellIs" priority="20" dxfId="0" operator="lessThan" stopIfTrue="1">
      <formula>1</formula>
    </cfRule>
  </conditionalFormatting>
  <conditionalFormatting sqref="M52">
    <cfRule type="cellIs" priority="18" dxfId="0" operator="lessThan" stopIfTrue="1">
      <formula>1</formula>
    </cfRule>
  </conditionalFormatting>
  <conditionalFormatting sqref="K54">
    <cfRule type="cellIs" priority="16" dxfId="0" operator="lessThan" stopIfTrue="1">
      <formula>1</formula>
    </cfRule>
  </conditionalFormatting>
  <conditionalFormatting sqref="M54">
    <cfRule type="cellIs" priority="14" dxfId="0" operator="lessThan" stopIfTrue="1">
      <formula>1</formula>
    </cfRule>
  </conditionalFormatting>
  <conditionalFormatting sqref="K56">
    <cfRule type="cellIs" priority="12" dxfId="0" operator="lessThan" stopIfTrue="1">
      <formula>1</formula>
    </cfRule>
  </conditionalFormatting>
  <conditionalFormatting sqref="M56">
    <cfRule type="cellIs" priority="10" dxfId="0" operator="lessThan" stopIfTrue="1">
      <formula>1</formula>
    </cfRule>
  </conditionalFormatting>
  <conditionalFormatting sqref="K58">
    <cfRule type="cellIs" priority="8" dxfId="0" operator="lessThan" stopIfTrue="1">
      <formula>1</formula>
    </cfRule>
  </conditionalFormatting>
  <conditionalFormatting sqref="M58">
    <cfRule type="cellIs" priority="5" dxfId="0" operator="lessThan" stopIfTrue="1">
      <formula>1</formula>
    </cfRule>
  </conditionalFormatting>
  <conditionalFormatting sqref="K60">
    <cfRule type="cellIs" priority="4" dxfId="0" operator="lessThan" stopIfTrue="1">
      <formula>1</formula>
    </cfRule>
  </conditionalFormatting>
  <conditionalFormatting sqref="M60">
    <cfRule type="cellIs" priority="2" dxfId="0" operator="lessThan" stopIfTrue="1">
      <formula>1</formula>
    </cfRule>
  </conditionalFormatting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portrait" paperSize="9" r:id="rId1"/>
  <headerFooter alignWithMargins="0">
    <oddFooter>&amp;R&amp;6&amp;D; &amp;F;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60"/>
  <sheetViews>
    <sheetView showGridLines="0" zoomScalePageLayoutView="0" workbookViewId="0" topLeftCell="B24">
      <selection activeCell="Y33" sqref="Y33"/>
    </sheetView>
  </sheetViews>
  <sheetFormatPr defaultColWidth="11.421875" defaultRowHeight="12.75" outlineLevelRow="1" outlineLevelCol="1"/>
  <cols>
    <col min="1" max="1" width="6.28125" style="33" hidden="1" customWidth="1" outlineLevel="1"/>
    <col min="2" max="2" width="2.00390625" style="3" customWidth="1" collapsed="1"/>
    <col min="3" max="3" width="6.8515625" style="3" customWidth="1"/>
    <col min="4" max="4" width="24.7109375" style="3" customWidth="1"/>
    <col min="5" max="5" width="4.00390625" style="3" customWidth="1"/>
    <col min="6" max="6" width="1.7109375" style="3" customWidth="1"/>
    <col min="7" max="8" width="4.00390625" style="3" customWidth="1"/>
    <col min="9" max="9" width="1.7109375" style="3" customWidth="1"/>
    <col min="10" max="11" width="4.00390625" style="3" customWidth="1"/>
    <col min="12" max="12" width="1.7109375" style="3" customWidth="1"/>
    <col min="13" max="14" width="4.00390625" style="3" customWidth="1"/>
    <col min="15" max="15" width="1.7109375" style="3" customWidth="1"/>
    <col min="16" max="17" width="4.00390625" style="3" customWidth="1"/>
    <col min="18" max="18" width="1.7109375" style="3" customWidth="1"/>
    <col min="19" max="20" width="4.00390625" style="3" customWidth="1"/>
    <col min="21" max="21" width="1.7109375" style="3" customWidth="1"/>
    <col min="22" max="22" width="4.00390625" style="3" customWidth="1"/>
    <col min="23" max="23" width="4.7109375" style="3" customWidth="1"/>
    <col min="24" max="24" width="6.57421875" style="3" hidden="1" customWidth="1"/>
    <col min="25" max="25" width="4.00390625" style="3" customWidth="1"/>
    <col min="26" max="26" width="4.8515625" style="3" customWidth="1"/>
    <col min="27" max="27" width="1.7109375" style="3" customWidth="1"/>
    <col min="28" max="29" width="4.00390625" style="3" customWidth="1"/>
    <col min="30" max="30" width="1.7109375" style="3" customWidth="1"/>
    <col min="31" max="31" width="4.00390625" style="3" customWidth="1"/>
    <col min="32" max="16384" width="11.421875" style="3" customWidth="1"/>
  </cols>
  <sheetData>
    <row r="1" spans="2:23" ht="24.75" customHeight="1">
      <c r="B1" s="65"/>
      <c r="C1" s="60" t="str">
        <f>+Daten!A1&amp;" "&amp;Daten!B1&amp;" "&amp;Daten!I1</f>
        <v>52. Deutsche Prellball Meisterschaften der Jugend 2015</v>
      </c>
      <c r="D1" s="66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3" ht="21.75" customHeight="1">
      <c r="C2" s="67" t="s">
        <v>19</v>
      </c>
      <c r="D2" s="68"/>
      <c r="E2" s="69"/>
      <c r="F2" s="70"/>
      <c r="G2" s="69"/>
      <c r="H2" s="71"/>
      <c r="I2" s="71"/>
      <c r="J2" s="71"/>
      <c r="K2" s="71"/>
      <c r="L2" s="71"/>
      <c r="M2" s="71"/>
      <c r="N2" s="71"/>
      <c r="O2" s="71"/>
      <c r="P2" s="67" t="str">
        <f>+Daten!C12</f>
        <v>weibl. Jugend 15-18</v>
      </c>
      <c r="Q2" s="72"/>
      <c r="R2" s="72"/>
      <c r="S2" s="72"/>
      <c r="T2" s="73"/>
      <c r="U2" s="73"/>
      <c r="V2" s="73"/>
      <c r="W2" s="68"/>
    </row>
    <row r="3" spans="1:23" ht="6.75" customHeight="1">
      <c r="A3" s="33" t="s">
        <v>17</v>
      </c>
      <c r="C3" s="74"/>
      <c r="D3" s="71"/>
      <c r="E3" s="76"/>
      <c r="F3" s="75">
        <v>1</v>
      </c>
      <c r="G3" s="76"/>
      <c r="H3" s="77"/>
      <c r="I3" s="77">
        <v>2</v>
      </c>
      <c r="J3" s="77"/>
      <c r="K3" s="77"/>
      <c r="L3" s="77">
        <v>3</v>
      </c>
      <c r="M3" s="77"/>
      <c r="N3" s="77"/>
      <c r="O3" s="77">
        <v>4</v>
      </c>
      <c r="P3" s="77"/>
      <c r="Q3" s="77"/>
      <c r="R3" s="77">
        <v>5</v>
      </c>
      <c r="S3" s="74"/>
      <c r="T3" s="71"/>
      <c r="U3" s="71"/>
      <c r="V3" s="71"/>
      <c r="W3" s="71"/>
    </row>
    <row r="4" spans="3:30" ht="12.75" customHeight="1">
      <c r="C4" s="78"/>
      <c r="D4" s="79" t="str">
        <f>+Daten!C13</f>
        <v>Gruppe E</v>
      </c>
      <c r="E4" s="172"/>
      <c r="F4" s="81" t="str">
        <f>+D5</f>
        <v>MTV Wohnste</v>
      </c>
      <c r="G4" s="82"/>
      <c r="H4" s="83"/>
      <c r="I4" s="81" t="str">
        <f>+D7</f>
        <v>MTV Eiche Schönebeck</v>
      </c>
      <c r="J4" s="84"/>
      <c r="K4" s="83"/>
      <c r="L4" s="81" t="str">
        <f>+D9</f>
        <v>TV Kierdorf 1962</v>
      </c>
      <c r="M4" s="84"/>
      <c r="N4" s="83"/>
      <c r="O4" s="81" t="str">
        <f>+D11</f>
        <v>TV Winterhagen</v>
      </c>
      <c r="P4" s="84"/>
      <c r="Q4" s="83"/>
      <c r="R4" s="81" t="str">
        <f>+D13</f>
        <v>SV Diepoldshofen</v>
      </c>
      <c r="S4" s="84"/>
      <c r="T4" s="85"/>
      <c r="U4" s="86" t="s">
        <v>20</v>
      </c>
      <c r="V4" s="87"/>
      <c r="W4" s="88" t="s">
        <v>21</v>
      </c>
      <c r="AD4" s="89"/>
    </row>
    <row r="5" spans="1:29" ht="15" customHeight="1">
      <c r="A5" s="33">
        <v>1</v>
      </c>
      <c r="C5" s="90" t="str">
        <f>IF(Daten!B14="","",Daten!B14)</f>
        <v>NI</v>
      </c>
      <c r="D5" s="91" t="str">
        <f>IF(Daten!C14="","",Daten!C14)</f>
        <v>MTV Wohnste</v>
      </c>
      <c r="E5" s="92"/>
      <c r="F5" s="93"/>
      <c r="G5" s="94"/>
      <c r="H5" s="95">
        <f>IF(ISERROR(VLOOKUP($A$3&amp;TEXT($A5,"00")&amp;TEXT(I$3,"00"),Samstag!$A$24:$Y$205,16,FALSE)),"",VLOOKUP($A$3&amp;TEXT($A5,"00")&amp;TEXT(I$3,"00"),Samstag!$A$24:$Y$205,16,FALSE))</f>
        <v>20</v>
      </c>
      <c r="I5" s="96" t="s">
        <v>22</v>
      </c>
      <c r="J5" s="97">
        <f>IF(ISERROR(VLOOKUP($A$3&amp;TEXT($A5,"00")&amp;TEXT(I$3,"00"),Samstag!$A$24:$Y$205,18,FALSE)),"",VLOOKUP($A$3&amp;TEXT($A5,"00")&amp;TEXT(I$3,"00"),Samstag!$A$24:$Y$205,18,FALSE))</f>
        <v>41</v>
      </c>
      <c r="K5" s="95">
        <f>IF(ISERROR(VLOOKUP($A$3&amp;TEXT($A5,"00")&amp;TEXT(L$3,"00"),Samstag!$A$24:$Y$205,16,FALSE)),"",VLOOKUP($A$3&amp;TEXT($A5,"00")&amp;TEXT(L$3,"00"),Samstag!$A$24:$Y$205,16,FALSE))</f>
        <v>43</v>
      </c>
      <c r="L5" s="96" t="s">
        <v>22</v>
      </c>
      <c r="M5" s="97">
        <f>IF(ISERROR(VLOOKUP($A$3&amp;TEXT($A5,"00")&amp;TEXT(L$3,"00"),Samstag!$A$24:$Y$205,18,FALSE)),"",VLOOKUP($A$3&amp;TEXT($A5,"00")&amp;TEXT(L$3,"00"),Samstag!$A$24:$Y$205,18,FALSE))</f>
        <v>26</v>
      </c>
      <c r="N5" s="95">
        <f>IF(ISERROR(VLOOKUP($A$3&amp;TEXT($A5,"00")&amp;TEXT(O$3,"00"),Samstag!$A$24:$Y$205,16,FALSE)),"",VLOOKUP($A$3&amp;TEXT($A5,"00")&amp;TEXT(O$3,"00"),Samstag!$A$24:$Y$205,16,FALSE))</f>
        <v>39</v>
      </c>
      <c r="O5" s="96" t="s">
        <v>22</v>
      </c>
      <c r="P5" s="97">
        <f>IF(ISERROR(VLOOKUP($A$3&amp;TEXT($A5,"00")&amp;TEXT(O$3,"00"),Samstag!$A$24:$Y$205,18,FALSE)),"",VLOOKUP($A$3&amp;TEXT($A5,"00")&amp;TEXT(O$3,"00"),Samstag!$A$24:$Y$205,18,FALSE))</f>
        <v>29</v>
      </c>
      <c r="Q5" s="95">
        <f>IF(ISERROR(VLOOKUP($A$3&amp;TEXT($A5,"00")&amp;TEXT(R$3,"00"),Samstag!$A$24:$Y$205,16,FALSE)),"",VLOOKUP($A$3&amp;TEXT($A5,"00")&amp;TEXT(R$3,"00"),Samstag!$A$24:$Y$205,16,FALSE))</f>
        <v>37</v>
      </c>
      <c r="R5" s="96" t="s">
        <v>22</v>
      </c>
      <c r="S5" s="97">
        <f>IF(ISERROR(VLOOKUP($A$3&amp;TEXT($A5,"00")&amp;TEXT(R$3,"00"),Samstag!$A$24:$Y$205,18,FALSE)),"",VLOOKUP($A$3&amp;TEXT($A5,"00")&amp;TEXT(R$3,"00"),Samstag!$A$24:$Y$205,18,FALSE))</f>
        <v>31</v>
      </c>
      <c r="T5" s="98">
        <f>IF(Y6="","",SUM(E5,H5,K5,N5,Q5))</f>
        <v>139</v>
      </c>
      <c r="U5" s="96" t="s">
        <v>22</v>
      </c>
      <c r="V5" s="99">
        <f>IF(Y6="","",SUM(G5,J5,M5,P5,S5))</f>
        <v>127</v>
      </c>
      <c r="W5" s="100">
        <f>IF(Y5="","",RANK(X6,($X$6,$X$8,$X$10,$X$12,$X$14),0))</f>
        <v>2</v>
      </c>
      <c r="Y5" s="101" t="s">
        <v>197</v>
      </c>
      <c r="AB5" s="3">
        <v>1</v>
      </c>
      <c r="AC5" s="173" t="str">
        <f>IF(W5="","",IF($W$5=1,$D$5,IF($W$7=1,$D$7,IF($W$9=1,$D$9,IF($W$11=1,$D$11,IF($W$13=1,$D$13,0))))))</f>
        <v>MTV Eiche Schönebeck</v>
      </c>
    </row>
    <row r="6" spans="3:29" ht="10.5" customHeight="1">
      <c r="C6" s="103"/>
      <c r="D6" s="104"/>
      <c r="E6" s="105"/>
      <c r="F6" s="106"/>
      <c r="G6" s="107"/>
      <c r="H6" s="108">
        <f>IF(H5=0,"",IF(H5&gt;J5,2,IF(H5&lt;J5,0,1)))</f>
        <v>0</v>
      </c>
      <c r="I6" s="52" t="s">
        <v>23</v>
      </c>
      <c r="J6" s="109">
        <f>IF(J5=0,"",IF(J5&gt;H5,2,IF(J5&lt;H5,0,1)))</f>
        <v>2</v>
      </c>
      <c r="K6" s="108">
        <f>IF(K5=0,"",IF(K5&gt;M5,2,IF(K5&lt;M5,0,1)))</f>
        <v>2</v>
      </c>
      <c r="L6" s="52" t="s">
        <v>23</v>
      </c>
      <c r="M6" s="109">
        <f>IF(M5=0,"",IF(M5&gt;K5,2,IF(M5&lt;K5,0,1)))</f>
        <v>0</v>
      </c>
      <c r="N6" s="108">
        <f>IF(N5=0,"",IF(N5&gt;P5,2,IF(N5&lt;P5,0,1)))</f>
        <v>2</v>
      </c>
      <c r="O6" s="52" t="s">
        <v>23</v>
      </c>
      <c r="P6" s="109">
        <f>IF(P5=0,"",IF(P5&gt;N5,2,IF(P5&lt;N5,0,1)))</f>
        <v>0</v>
      </c>
      <c r="Q6" s="108">
        <f>IF(Q5=0,"",IF(Q5&gt;S5,2,IF(Q5&lt;S5,0,1)))</f>
        <v>2</v>
      </c>
      <c r="R6" s="52" t="s">
        <v>23</v>
      </c>
      <c r="S6" s="109">
        <f>IF(S5=0,"",IF(S5&gt;Q5,2,IF(S5&lt;Q5,0,1)))</f>
        <v>0</v>
      </c>
      <c r="T6" s="108">
        <f>IF(Y6="","",SUM(E6,H6,K6,N6,Q6))</f>
        <v>6</v>
      </c>
      <c r="U6" s="52" t="s">
        <v>23</v>
      </c>
      <c r="V6" s="109">
        <f>IF(Y6="","",SUM(G6,J6,M6,P6,S6))</f>
        <v>2</v>
      </c>
      <c r="W6" s="110"/>
      <c r="X6" s="111">
        <f>+(T6-V6)+T5/V5+T6</f>
        <v>11.094488188976378</v>
      </c>
      <c r="Y6" s="101" t="s">
        <v>197</v>
      </c>
      <c r="AC6" s="173"/>
    </row>
    <row r="7" spans="1:29" ht="15" customHeight="1">
      <c r="A7" s="33">
        <v>2</v>
      </c>
      <c r="C7" s="90" t="str">
        <f>IF(Daten!B15="","",Daten!B15)</f>
        <v>BR</v>
      </c>
      <c r="D7" s="91" t="str">
        <f>IF(Daten!C15="","",Daten!C15)</f>
        <v>MTV Eiche Schönebeck</v>
      </c>
      <c r="E7" s="95">
        <f>IF(J5=0,"",J5)</f>
        <v>41</v>
      </c>
      <c r="F7" s="96" t="s">
        <v>22</v>
      </c>
      <c r="G7" s="97">
        <f>IF(H5=0,"",H5)</f>
        <v>20</v>
      </c>
      <c r="H7" s="92"/>
      <c r="I7" s="93"/>
      <c r="J7" s="94"/>
      <c r="K7" s="95">
        <f>IF(ISERROR(VLOOKUP($A$3&amp;TEXT($A7,"00")&amp;TEXT(L$3,"00"),Samstag!$A$24:$Y$205,16,FALSE)),"",VLOOKUP($A$3&amp;TEXT($A7,"00")&amp;TEXT(L$3,"00"),Samstag!$A$24:$Y$205,16,FALSE))</f>
        <v>44</v>
      </c>
      <c r="L7" s="96" t="s">
        <v>22</v>
      </c>
      <c r="M7" s="97">
        <f>IF(ISERROR(VLOOKUP($A$3&amp;TEXT($A7,"00")&amp;TEXT(L$3,"00"),Samstag!$A$24:$Y$205,18,FALSE)),"",VLOOKUP($A$3&amp;TEXT($A7,"00")&amp;TEXT(L$3,"00"),Samstag!$A$24:$Y$205,18,FALSE))</f>
        <v>29</v>
      </c>
      <c r="N7" s="95">
        <f>IF(ISERROR(VLOOKUP($A$3&amp;TEXT($A7,"00")&amp;TEXT(O$3,"00"),Samstag!$A$24:$Y$205,16,FALSE)),"",VLOOKUP($A$3&amp;TEXT($A7,"00")&amp;TEXT(O$3,"00"),Samstag!$A$24:$Y$205,16,FALSE))</f>
        <v>44</v>
      </c>
      <c r="O7" s="96" t="s">
        <v>22</v>
      </c>
      <c r="P7" s="97">
        <f>IF(ISERROR(VLOOKUP($A$3&amp;TEXT($A7,"00")&amp;TEXT(O$3,"00"),Samstag!$A$24:$Y$205,18,FALSE)),"",VLOOKUP($A$3&amp;TEXT($A7,"00")&amp;TEXT(O$3,"00"),Samstag!$A$24:$Y$205,18,FALSE))</f>
        <v>26</v>
      </c>
      <c r="Q7" s="95">
        <f>IF(ISERROR(VLOOKUP($A$3&amp;TEXT($A7,"00")&amp;TEXT(R$3,"00"),Samstag!$A$24:$Y$205,16,FALSE)),"",VLOOKUP($A$3&amp;TEXT($A7,"00")&amp;TEXT(R$3,"00"),Samstag!$A$24:$Y$205,16,FALSE))</f>
        <v>51</v>
      </c>
      <c r="R7" s="96" t="s">
        <v>22</v>
      </c>
      <c r="S7" s="97">
        <f>IF(ISERROR(VLOOKUP($A$3&amp;TEXT($A7,"00")&amp;TEXT(R$3,"00"),Samstag!$A$24:$Y$205,18,FALSE)),"",VLOOKUP($A$3&amp;TEXT($A7,"00")&amp;TEXT(R$3,"00"),Samstag!$A$24:$Y$205,18,FALSE))</f>
        <v>20</v>
      </c>
      <c r="T7" s="98">
        <f>IF(Y8="","",SUM(E7,H7,K7,N7,Q7))</f>
        <v>180</v>
      </c>
      <c r="U7" s="96" t="s">
        <v>22</v>
      </c>
      <c r="V7" s="99">
        <f>IF(Y8="","",SUM(G7,J7,M7,P7,S7))</f>
        <v>95</v>
      </c>
      <c r="W7" s="100">
        <f>IF(Y7="","",RANK(X8,($X$6,$X$8,$X$10,$X$12,$X$14),0))</f>
        <v>1</v>
      </c>
      <c r="Y7" s="101" t="s">
        <v>197</v>
      </c>
      <c r="AB7" s="3">
        <v>2</v>
      </c>
      <c r="AC7" s="173" t="str">
        <f>IF(W7="","",IF($W$5=2,$D$5,IF($W$7=2,$D$7,IF($W$9=2,$D$9,IF($W$11=2,$D$11,IF($W$13=2,$D$13,0))))))</f>
        <v>MTV Wohnste</v>
      </c>
    </row>
    <row r="8" spans="3:29" ht="10.5" customHeight="1">
      <c r="C8" s="103"/>
      <c r="D8" s="104"/>
      <c r="E8" s="108">
        <f>IF(E7="","",IF(E7&gt;G7,2,IF(E7&lt;G7,0,1)))</f>
        <v>2</v>
      </c>
      <c r="F8" s="52" t="s">
        <v>23</v>
      </c>
      <c r="G8" s="109">
        <f>IF(G7="","",IF(G7&gt;E7,2,IF(G7&lt;E7,0,1)))</f>
        <v>0</v>
      </c>
      <c r="H8" s="105"/>
      <c r="I8" s="106"/>
      <c r="J8" s="107"/>
      <c r="K8" s="108">
        <f>IF(K7=0,"",IF(K7&gt;M7,2,IF(K7&lt;M7,0,1)))</f>
        <v>2</v>
      </c>
      <c r="L8" s="52" t="s">
        <v>23</v>
      </c>
      <c r="M8" s="109">
        <f>IF(M7=0,"",IF(M7&gt;K7,2,IF(M7&lt;K7,0,1)))</f>
        <v>0</v>
      </c>
      <c r="N8" s="108">
        <f>IF(N7=0,"",IF(N7&gt;P7,2,IF(N7&lt;P7,0,1)))</f>
        <v>2</v>
      </c>
      <c r="O8" s="52" t="s">
        <v>23</v>
      </c>
      <c r="P8" s="109">
        <f>IF(P7=0,"",IF(P7&gt;N7,2,IF(P7&lt;N7,0,1)))</f>
        <v>0</v>
      </c>
      <c r="Q8" s="108">
        <f>IF(Q7=0,"",IF(Q7&gt;S7,2,IF(Q7&lt;S7,0,1)))</f>
        <v>2</v>
      </c>
      <c r="R8" s="52" t="s">
        <v>23</v>
      </c>
      <c r="S8" s="109">
        <f>IF(S7=0,"",IF(S7&gt;Q7,2,IF(S7&lt;Q7,0,1)))</f>
        <v>0</v>
      </c>
      <c r="T8" s="108">
        <f>IF(Y8="","",SUM(E8,H8,K8,N8,Q8))</f>
        <v>8</v>
      </c>
      <c r="U8" s="52" t="s">
        <v>23</v>
      </c>
      <c r="V8" s="109">
        <f>IF(Y8="","",SUM(G8,J8,M8,P8,S8))</f>
        <v>0</v>
      </c>
      <c r="W8" s="110"/>
      <c r="X8" s="111">
        <f>+(T8-V8)+T7/V7+T8</f>
        <v>17.894736842105264</v>
      </c>
      <c r="Y8" s="101" t="s">
        <v>197</v>
      </c>
      <c r="AC8" s="173"/>
    </row>
    <row r="9" spans="1:29" ht="15" customHeight="1">
      <c r="A9" s="33">
        <v>3</v>
      </c>
      <c r="C9" s="90" t="str">
        <f>IF(Daten!B16="","",Daten!B16)</f>
        <v>RL</v>
      </c>
      <c r="D9" s="91" t="str">
        <f>IF(Daten!C16="","",Daten!C16)</f>
        <v>TV Kierdorf 1962</v>
      </c>
      <c r="E9" s="98">
        <f>IF(M5=0,"",M5)</f>
        <v>26</v>
      </c>
      <c r="F9" s="96" t="s">
        <v>22</v>
      </c>
      <c r="G9" s="99">
        <f>IF(K5=0,"",K5)</f>
        <v>43</v>
      </c>
      <c r="H9" s="95">
        <f>IF(M7=0,"",M7)</f>
        <v>29</v>
      </c>
      <c r="I9" s="96" t="s">
        <v>22</v>
      </c>
      <c r="J9" s="97">
        <f>IF(K7=0,"",K7)</f>
        <v>44</v>
      </c>
      <c r="K9" s="92"/>
      <c r="L9" s="93"/>
      <c r="M9" s="94"/>
      <c r="N9" s="95">
        <f>IF(ISERROR(VLOOKUP($A$3&amp;TEXT($A9,"00")&amp;TEXT(O$3,"00"),Samstag!$A$24:$Y$205,16,FALSE)),"",VLOOKUP($A$3&amp;TEXT($A9,"00")&amp;TEXT(O$3,"00"),Samstag!$A$24:$Y$205,16,FALSE))</f>
        <v>29</v>
      </c>
      <c r="O9" s="96" t="s">
        <v>22</v>
      </c>
      <c r="P9" s="97">
        <f>IF(ISERROR(VLOOKUP($A$3&amp;TEXT($A9,"00")&amp;TEXT(O$3,"00"),Samstag!$A$24:$Y$205,18,FALSE)),"",VLOOKUP($A$3&amp;TEXT($A9,"00")&amp;TEXT(O$3,"00"),Samstag!$A$24:$Y$205,18,FALSE))</f>
        <v>40</v>
      </c>
      <c r="Q9" s="95">
        <f>IF(ISERROR(VLOOKUP($A$3&amp;TEXT($A9,"00")&amp;TEXT(R$3,"00"),Samstag!$A$24:$Y$205,16,FALSE)),"",VLOOKUP($A$3&amp;TEXT($A9,"00")&amp;TEXT(R$3,"00"),Samstag!$A$24:$Y$205,16,FALSE))</f>
        <v>28</v>
      </c>
      <c r="R9" s="96" t="s">
        <v>22</v>
      </c>
      <c r="S9" s="97">
        <f>IF(ISERROR(VLOOKUP($A$3&amp;TEXT($A9,"00")&amp;TEXT(R$3,"00"),Samstag!$A$24:$Y$205,18,FALSE)),"",VLOOKUP($A$3&amp;TEXT($A9,"00")&amp;TEXT(R$3,"00"),Samstag!$A$24:$Y$205,18,FALSE))</f>
        <v>39</v>
      </c>
      <c r="T9" s="98">
        <f>IF(Y10="","",SUM(E9,H9,K9,N9,Q9))</f>
        <v>112</v>
      </c>
      <c r="U9" s="96" t="s">
        <v>22</v>
      </c>
      <c r="V9" s="99">
        <f>IF(Y10="","",SUM(G9,J9,M9,P9,S9))</f>
        <v>166</v>
      </c>
      <c r="W9" s="100">
        <f>IF(Y9="","",RANK(X10,($X$6,$X$8,$X$10,$X$12,$X$14),0))</f>
        <v>5</v>
      </c>
      <c r="Y9" s="101" t="s">
        <v>197</v>
      </c>
      <c r="AB9" s="3">
        <v>3</v>
      </c>
      <c r="AC9" s="173" t="str">
        <f>IF(W9="","",IF($W$5=3,$D$5,IF($W$7=3,$D$7,IF($W$9=3,$D$9,IF($W$11=3,$D$11,IF($W$13=3,$D$13,0))))))</f>
        <v>TV Winterhagen</v>
      </c>
    </row>
    <row r="10" spans="3:29" ht="10.5" customHeight="1">
      <c r="C10" s="113"/>
      <c r="D10" s="104"/>
      <c r="E10" s="108">
        <f>IF(E9="","",IF(E9&gt;G9,2,IF(E9&lt;G9,0,1)))</f>
        <v>0</v>
      </c>
      <c r="F10" s="52" t="s">
        <v>23</v>
      </c>
      <c r="G10" s="109">
        <f>IF(G9="","",IF(G9&gt;E9,2,IF(G9&lt;E9,0,1)))</f>
        <v>2</v>
      </c>
      <c r="H10" s="108">
        <f>IF(H9="","",IF(H9&gt;J9,2,IF(H9&lt;J9,0,1)))</f>
        <v>0</v>
      </c>
      <c r="I10" s="52" t="s">
        <v>23</v>
      </c>
      <c r="J10" s="109">
        <f>IF(J9="","",IF(J9&gt;H9,2,IF(J9&lt;H9,0,1)))</f>
        <v>2</v>
      </c>
      <c r="K10" s="105"/>
      <c r="L10" s="106"/>
      <c r="M10" s="107"/>
      <c r="N10" s="108">
        <f>IF(N9=0,"",IF(N9&gt;P9,2,IF(N9&lt;P9,0,1)))</f>
        <v>0</v>
      </c>
      <c r="O10" s="52" t="s">
        <v>23</v>
      </c>
      <c r="P10" s="109">
        <f>IF(P9=0,"",IF(P9&gt;N9,2,IF(P9&lt;N9,0,1)))</f>
        <v>2</v>
      </c>
      <c r="Q10" s="108">
        <f>IF(Q9=0,"",IF(Q9&gt;S9,2,IF(Q9&lt;S9,0,1)))</f>
        <v>0</v>
      </c>
      <c r="R10" s="52" t="s">
        <v>23</v>
      </c>
      <c r="S10" s="109">
        <f>IF(S9=0,"",IF(S9&gt;Q9,2,IF(S9&lt;Q9,0,1)))</f>
        <v>2</v>
      </c>
      <c r="T10" s="108">
        <f>IF(Y10="","",SUM(E10,H10,K10,N10,Q10))</f>
        <v>0</v>
      </c>
      <c r="U10" s="52" t="s">
        <v>23</v>
      </c>
      <c r="V10" s="109">
        <f>IF(Y10="","",SUM(G10,J10,M10,P10,S10))</f>
        <v>8</v>
      </c>
      <c r="W10" s="110"/>
      <c r="X10" s="111">
        <f>+(T10-V10)+T9/V9+T10</f>
        <v>-7.325301204819278</v>
      </c>
      <c r="Y10" s="101" t="s">
        <v>197</v>
      </c>
      <c r="AC10" s="173"/>
    </row>
    <row r="11" spans="1:29" ht="15" customHeight="1">
      <c r="A11" s="33">
        <v>4</v>
      </c>
      <c r="C11" s="90" t="str">
        <f>IF(Daten!B17="","",Daten!B17)</f>
        <v>RL</v>
      </c>
      <c r="D11" s="91" t="str">
        <f>IF(Daten!C17="","",Daten!C17)</f>
        <v>TV Winterhagen</v>
      </c>
      <c r="E11" s="98">
        <f>IF(P5=0,"",P5)</f>
        <v>29</v>
      </c>
      <c r="F11" s="96" t="s">
        <v>22</v>
      </c>
      <c r="G11" s="99">
        <f>IF(N5=0,"",N5)</f>
        <v>39</v>
      </c>
      <c r="H11" s="98">
        <f>IF(P7=0,"",P7)</f>
        <v>26</v>
      </c>
      <c r="I11" s="96" t="s">
        <v>22</v>
      </c>
      <c r="J11" s="99">
        <f>IF(N7=0,"",N7)</f>
        <v>44</v>
      </c>
      <c r="K11" s="95">
        <f>IF(P9=0,"",P9)</f>
        <v>40</v>
      </c>
      <c r="L11" s="96" t="s">
        <v>22</v>
      </c>
      <c r="M11" s="97">
        <f>IF(N9=0,"",N9)</f>
        <v>29</v>
      </c>
      <c r="N11" s="92"/>
      <c r="O11" s="93"/>
      <c r="P11" s="94"/>
      <c r="Q11" s="95">
        <f>IF(ISERROR(VLOOKUP($A$3&amp;TEXT($A11,"00")&amp;TEXT(R$3,"00"),Samstag!$A$24:$Y$205,16,FALSE)),"",VLOOKUP($A$3&amp;TEXT($A11,"00")&amp;TEXT(R$3,"00"),Samstag!$A$24:$Y$205,16,FALSE))</f>
        <v>35</v>
      </c>
      <c r="R11" s="96" t="s">
        <v>22</v>
      </c>
      <c r="S11" s="97">
        <f>IF(ISERROR(VLOOKUP($A$3&amp;TEXT($A11,"00")&amp;TEXT(R$3,"00"),Samstag!$A$24:$Y$205,18,FALSE)),"",VLOOKUP($A$3&amp;TEXT($A11,"00")&amp;TEXT(R$3,"00"),Samstag!$A$24:$Y$205,18,FALSE))</f>
        <v>27</v>
      </c>
      <c r="T11" s="98">
        <f>IF(Y12="","",SUM(E11,H11,K11,N11,Q11))</f>
        <v>130</v>
      </c>
      <c r="U11" s="96" t="s">
        <v>22</v>
      </c>
      <c r="V11" s="99">
        <f>IF(Y12="","",SUM(G11,J11,M11,P11,S11))</f>
        <v>139</v>
      </c>
      <c r="W11" s="100">
        <f>IF(Y11="","",RANK(X12,($X$6,$X$8,$X$10,$X$12,$X$14),0))</f>
        <v>3</v>
      </c>
      <c r="Y11" s="101" t="s">
        <v>197</v>
      </c>
      <c r="AB11" s="3">
        <v>4</v>
      </c>
      <c r="AC11" s="173" t="str">
        <f>IF(W11="","",IF($W$5=4,$D$5,IF($W$7=4,$D$7,IF($W$9=4,$D$9,IF($W$11=4,$D$11,IF($W$13=4,$D$13,0))))))</f>
        <v>SV Diepoldshofen</v>
      </c>
    </row>
    <row r="12" spans="3:29" ht="10.5" customHeight="1">
      <c r="C12" s="113"/>
      <c r="D12" s="104"/>
      <c r="E12" s="108">
        <f>IF(E11="","",IF(E11&gt;G11,2,IF(E11&lt;G11,0,1)))</f>
        <v>0</v>
      </c>
      <c r="F12" s="52" t="s">
        <v>23</v>
      </c>
      <c r="G12" s="109">
        <f>IF(G11="","",IF(G11&gt;E11,2,IF(G11&lt;E11,0,1)))</f>
        <v>2</v>
      </c>
      <c r="H12" s="108">
        <f>IF(H11="","",IF(H11&gt;J11,2,IF(H11&lt;J11,0,1)))</f>
        <v>0</v>
      </c>
      <c r="I12" s="52" t="s">
        <v>23</v>
      </c>
      <c r="J12" s="109">
        <f>IF(J11="","",IF(J11&gt;H11,2,IF(J11&lt;H11,0,1)))</f>
        <v>2</v>
      </c>
      <c r="K12" s="108">
        <f>IF(K11="","",IF(K11&gt;M11,2,IF(K11&lt;M11,0,1)))</f>
        <v>2</v>
      </c>
      <c r="L12" s="52" t="s">
        <v>23</v>
      </c>
      <c r="M12" s="109">
        <f>IF(M11="","",IF(M11&gt;K11,2,IF(M11&lt;K11,0,1)))</f>
        <v>0</v>
      </c>
      <c r="N12" s="105"/>
      <c r="O12" s="106"/>
      <c r="P12" s="107"/>
      <c r="Q12" s="108">
        <f>IF(Q11=0,"",IF(Q11&gt;S11,2,IF(Q11&lt;S11,0,1)))</f>
        <v>2</v>
      </c>
      <c r="R12" s="52" t="s">
        <v>23</v>
      </c>
      <c r="S12" s="109">
        <f>IF(S11=0,"",IF(S11&gt;Q11,2,IF(S11&lt;Q11,0,1)))</f>
        <v>0</v>
      </c>
      <c r="T12" s="108">
        <f>IF(Y12="","",SUM(E12,H12,K12,N12,Q12))</f>
        <v>4</v>
      </c>
      <c r="U12" s="52" t="s">
        <v>23</v>
      </c>
      <c r="V12" s="109">
        <f>IF(Y12="","",SUM(G12,J12,M12,P12,S12))</f>
        <v>4</v>
      </c>
      <c r="W12" s="110"/>
      <c r="X12" s="111">
        <f>+(T12-V12)+T11/V11+T12</f>
        <v>4.935251798561151</v>
      </c>
      <c r="Y12" s="101" t="s">
        <v>197</v>
      </c>
      <c r="AC12" s="173"/>
    </row>
    <row r="13" spans="1:29" ht="15" customHeight="1">
      <c r="A13" s="33">
        <v>5</v>
      </c>
      <c r="C13" s="90" t="str">
        <f>IF(Daten!B18="","",Daten!B18)</f>
        <v>SW</v>
      </c>
      <c r="D13" s="91" t="str">
        <f>IF(Daten!C18="","",Daten!C18)</f>
        <v>SV Diepoldshofen</v>
      </c>
      <c r="E13" s="98">
        <f>IF(S5=0,"",S5)</f>
        <v>31</v>
      </c>
      <c r="F13" s="96" t="s">
        <v>22</v>
      </c>
      <c r="G13" s="99">
        <f>IF(Q5=0,"",Q5)</f>
        <v>37</v>
      </c>
      <c r="H13" s="98">
        <f>IF(S7=0,"",S7)</f>
        <v>20</v>
      </c>
      <c r="I13" s="96" t="s">
        <v>22</v>
      </c>
      <c r="J13" s="99">
        <f>IF(Q7=0,"",Q7)</f>
        <v>51</v>
      </c>
      <c r="K13" s="98">
        <f>IF(S9=0,"",S9)</f>
        <v>39</v>
      </c>
      <c r="L13" s="96" t="s">
        <v>22</v>
      </c>
      <c r="M13" s="99">
        <f>IF(Q9=0,"",Q9)</f>
        <v>28</v>
      </c>
      <c r="N13" s="95">
        <f>IF(S11=0,"",S11)</f>
        <v>27</v>
      </c>
      <c r="O13" s="96" t="s">
        <v>22</v>
      </c>
      <c r="P13" s="97">
        <f>IF(Q11=0,"",Q11)</f>
        <v>35</v>
      </c>
      <c r="Q13" s="92"/>
      <c r="R13" s="93"/>
      <c r="S13" s="94"/>
      <c r="T13" s="98">
        <f>IF(Y14="","",SUM(E13,H13,K13,N13,Q13))</f>
        <v>117</v>
      </c>
      <c r="U13" s="96" t="s">
        <v>22</v>
      </c>
      <c r="V13" s="99">
        <f>IF(Y14="","",SUM(G13,J13,M13,P13,S13))</f>
        <v>151</v>
      </c>
      <c r="W13" s="100">
        <f>IF(Y13="","",RANK(X14,($X$6,$X$8,$X$10,$X$12,$X$14),0))</f>
        <v>4</v>
      </c>
      <c r="Y13" s="101" t="s">
        <v>197</v>
      </c>
      <c r="AB13" s="3">
        <v>5</v>
      </c>
      <c r="AC13" s="173" t="str">
        <f>IF(W13="","",IF($W$5=5,$D$5,IF($W$7=5,$D$7,IF($W$9=5,$D$9,IF($W$11=5,$D$11,IF($W$13=5,$D$13,0))))))</f>
        <v>TV Kierdorf 1962</v>
      </c>
    </row>
    <row r="14" spans="3:25" ht="10.5" customHeight="1">
      <c r="C14" s="113"/>
      <c r="D14" s="114"/>
      <c r="E14" s="108">
        <f>IF(E13="","",IF(E13&gt;G13,2,IF(E13&lt;G13,0,1)))</f>
        <v>0</v>
      </c>
      <c r="F14" s="52" t="s">
        <v>23</v>
      </c>
      <c r="G14" s="109">
        <f>IF(G13="","",IF(G13&gt;E13,2,IF(G13&lt;E13,0,1)))</f>
        <v>2</v>
      </c>
      <c r="H14" s="108">
        <f>IF(H13="","",IF(H13&gt;J13,2,IF(H13&lt;J13,0,1)))</f>
        <v>0</v>
      </c>
      <c r="I14" s="52" t="s">
        <v>23</v>
      </c>
      <c r="J14" s="109">
        <f>IF(J13="","",IF(J13&gt;H13,2,IF(J13&lt;H13,0,1)))</f>
        <v>2</v>
      </c>
      <c r="K14" s="108">
        <f>IF(K13="","",IF(K13&gt;M13,2,IF(K13&lt;M13,0,1)))</f>
        <v>2</v>
      </c>
      <c r="L14" s="52" t="s">
        <v>23</v>
      </c>
      <c r="M14" s="109">
        <f>IF(M13="","",IF(M13&gt;K13,2,IF(M13&lt;K13,0,1)))</f>
        <v>0</v>
      </c>
      <c r="N14" s="108">
        <f>IF(N13="","",IF(N13&gt;P13,2,IF(N13&lt;P13,0,1)))</f>
        <v>0</v>
      </c>
      <c r="O14" s="52" t="s">
        <v>23</v>
      </c>
      <c r="P14" s="109">
        <f>IF(P13="","",IF(P13&gt;N13,2,IF(P13&lt;N13,0,1)))</f>
        <v>2</v>
      </c>
      <c r="Q14" s="105"/>
      <c r="R14" s="106"/>
      <c r="S14" s="107"/>
      <c r="T14" s="108">
        <f>IF(Y14="","",SUM(E14,H14,K14,N14,Q14))</f>
        <v>2</v>
      </c>
      <c r="U14" s="52" t="s">
        <v>23</v>
      </c>
      <c r="V14" s="109">
        <f>IF(Y14="","",SUM(G14,J14,M14,P14,S14))</f>
        <v>6</v>
      </c>
      <c r="W14" s="110"/>
      <c r="X14" s="111">
        <f>+(T14-V14)+T13/V13+T14</f>
        <v>-1.225165562913907</v>
      </c>
      <c r="Y14" s="101" t="s">
        <v>197</v>
      </c>
    </row>
    <row r="15" spans="3:25" ht="9.75" customHeight="1">
      <c r="C15" s="115"/>
      <c r="D15" s="115"/>
      <c r="E15" s="116"/>
      <c r="F15" s="96"/>
      <c r="G15" s="117"/>
      <c r="H15" s="116"/>
      <c r="I15" s="96"/>
      <c r="J15" s="117"/>
      <c r="K15" s="116"/>
      <c r="L15" s="96"/>
      <c r="M15" s="117"/>
      <c r="N15" s="116"/>
      <c r="O15" s="96"/>
      <c r="P15" s="117"/>
      <c r="Q15" s="118"/>
      <c r="R15" s="118"/>
      <c r="S15" s="118"/>
      <c r="T15" s="116"/>
      <c r="U15" s="96"/>
      <c r="V15" s="117"/>
      <c r="W15" s="119"/>
      <c r="X15" s="111"/>
      <c r="Y15" s="101"/>
    </row>
    <row r="16" spans="3:25" ht="9.75" customHeight="1" hidden="1" outlineLevel="1">
      <c r="C16" s="120" t="s">
        <v>24</v>
      </c>
      <c r="D16" s="121" t="str">
        <f>+D5</f>
        <v>MTV Wohnste</v>
      </c>
      <c r="E16" s="122"/>
      <c r="F16" s="123"/>
      <c r="G16" s="124"/>
      <c r="H16" s="125"/>
      <c r="I16" s="126" t="s">
        <v>22</v>
      </c>
      <c r="J16" s="127"/>
      <c r="K16" s="125"/>
      <c r="L16" s="126" t="s">
        <v>22</v>
      </c>
      <c r="M16" s="127"/>
      <c r="N16" s="125"/>
      <c r="O16" s="126" t="s">
        <v>22</v>
      </c>
      <c r="P16" s="127"/>
      <c r="Q16" s="128"/>
      <c r="R16" s="126" t="s">
        <v>22</v>
      </c>
      <c r="S16" s="129"/>
      <c r="T16" s="56"/>
      <c r="U16" s="130"/>
      <c r="V16" s="131"/>
      <c r="W16" s="132"/>
      <c r="X16" s="111"/>
      <c r="Y16" s="101"/>
    </row>
    <row r="17" spans="3:25" ht="9.75" customHeight="1" hidden="1" outlineLevel="1">
      <c r="C17" s="133"/>
      <c r="D17" s="177" t="str">
        <f>+D7</f>
        <v>MTV Eiche Schönebeck</v>
      </c>
      <c r="E17" s="125">
        <f>IF(J16="","",J16)</f>
      </c>
      <c r="F17" s="126" t="s">
        <v>22</v>
      </c>
      <c r="G17" s="127">
        <f>IF(H16="","",H16)</f>
      </c>
      <c r="H17" s="122"/>
      <c r="I17" s="123"/>
      <c r="J17" s="124"/>
      <c r="K17" s="125"/>
      <c r="L17" s="126" t="s">
        <v>22</v>
      </c>
      <c r="M17" s="127"/>
      <c r="N17" s="125"/>
      <c r="O17" s="126" t="s">
        <v>22</v>
      </c>
      <c r="P17" s="127"/>
      <c r="Q17" s="128"/>
      <c r="R17" s="126" t="s">
        <v>22</v>
      </c>
      <c r="S17" s="129"/>
      <c r="T17" s="56"/>
      <c r="U17" s="130"/>
      <c r="V17" s="131"/>
      <c r="W17" s="132"/>
      <c r="X17" s="111"/>
      <c r="Y17" s="101"/>
    </row>
    <row r="18" spans="3:25" ht="9.75" customHeight="1" hidden="1" outlineLevel="1">
      <c r="C18" s="133"/>
      <c r="D18" s="121" t="str">
        <f>+D9</f>
        <v>TV Kierdorf 1962</v>
      </c>
      <c r="E18" s="125">
        <f>IF(M16="","",M16)</f>
      </c>
      <c r="F18" s="126" t="s">
        <v>22</v>
      </c>
      <c r="G18" s="127">
        <f>IF(K16="","",K16)</f>
      </c>
      <c r="H18" s="125">
        <f>IF(M17="","",M17)</f>
      </c>
      <c r="I18" s="126" t="s">
        <v>22</v>
      </c>
      <c r="J18" s="127">
        <f>IF(K17="","",K17)</f>
      </c>
      <c r="K18" s="122"/>
      <c r="L18" s="123"/>
      <c r="M18" s="124"/>
      <c r="N18" s="125"/>
      <c r="O18" s="126" t="s">
        <v>22</v>
      </c>
      <c r="P18" s="127"/>
      <c r="Q18" s="128"/>
      <c r="R18" s="126" t="s">
        <v>22</v>
      </c>
      <c r="S18" s="129"/>
      <c r="T18" s="56"/>
      <c r="U18" s="130"/>
      <c r="V18" s="131"/>
      <c r="W18" s="132"/>
      <c r="X18" s="111"/>
      <c r="Y18" s="101"/>
    </row>
    <row r="19" spans="3:25" ht="9.75" customHeight="1" hidden="1" outlineLevel="1">
      <c r="C19" s="133"/>
      <c r="D19" s="121" t="str">
        <f>+D11</f>
        <v>TV Winterhagen</v>
      </c>
      <c r="E19" s="125">
        <f>IF(P16="","",P16)</f>
      </c>
      <c r="F19" s="126" t="s">
        <v>22</v>
      </c>
      <c r="G19" s="127">
        <f>IF(N16="","",N16)</f>
      </c>
      <c r="H19" s="125">
        <f>IF(P17="","",P17)</f>
      </c>
      <c r="I19" s="126" t="s">
        <v>22</v>
      </c>
      <c r="J19" s="127">
        <f>IF(N17="","",N17)</f>
      </c>
      <c r="K19" s="125">
        <f>IF(P18="","",P18)</f>
      </c>
      <c r="L19" s="126" t="s">
        <v>22</v>
      </c>
      <c r="M19" s="127">
        <f>IF(N18="","",N18)</f>
      </c>
      <c r="N19" s="122"/>
      <c r="O19" s="123"/>
      <c r="P19" s="124"/>
      <c r="Q19" s="128"/>
      <c r="R19" s="126" t="s">
        <v>22</v>
      </c>
      <c r="S19" s="129"/>
      <c r="T19" s="56"/>
      <c r="U19" s="130"/>
      <c r="V19" s="131"/>
      <c r="W19" s="132"/>
      <c r="X19" s="111"/>
      <c r="Y19" s="101"/>
    </row>
    <row r="20" spans="3:25" ht="9.75" customHeight="1" hidden="1" outlineLevel="1">
      <c r="C20" s="133"/>
      <c r="D20" s="121" t="str">
        <f>+D13</f>
        <v>SV Diepoldshofen</v>
      </c>
      <c r="E20" s="125">
        <f>IF(S16="","",S16)</f>
      </c>
      <c r="F20" s="126" t="s">
        <v>22</v>
      </c>
      <c r="G20" s="127">
        <f>IF(Q16="","",Q16)</f>
      </c>
      <c r="H20" s="125">
        <f>IF(S17="","",S17)</f>
      </c>
      <c r="I20" s="126" t="s">
        <v>22</v>
      </c>
      <c r="J20" s="127">
        <f>IF(Q17="","",Q17)</f>
      </c>
      <c r="K20" s="125">
        <f>IF(S18="","",S18)</f>
      </c>
      <c r="L20" s="126" t="s">
        <v>22</v>
      </c>
      <c r="M20" s="127">
        <f>IF(Q18="","",Q18)</f>
      </c>
      <c r="N20" s="125">
        <f>IF(S19="","",S19)</f>
      </c>
      <c r="O20" s="126" t="s">
        <v>22</v>
      </c>
      <c r="P20" s="127">
        <f>IF(Q19="","",Q19)</f>
      </c>
      <c r="Q20" s="122"/>
      <c r="R20" s="123"/>
      <c r="S20" s="124"/>
      <c r="T20" s="56"/>
      <c r="U20" s="130"/>
      <c r="V20" s="131"/>
      <c r="W20" s="132"/>
      <c r="X20" s="111"/>
      <c r="Y20" s="101"/>
    </row>
    <row r="21" spans="6:18" ht="12.75" collapsed="1">
      <c r="F21" s="134">
        <v>11</v>
      </c>
      <c r="G21" s="134"/>
      <c r="H21" s="134"/>
      <c r="I21" s="134">
        <v>12</v>
      </c>
      <c r="J21" s="134"/>
      <c r="K21" s="134"/>
      <c r="L21" s="134">
        <v>13</v>
      </c>
      <c r="M21" s="134"/>
      <c r="N21" s="134"/>
      <c r="O21" s="134">
        <v>14</v>
      </c>
      <c r="P21" s="134"/>
      <c r="Q21" s="134"/>
      <c r="R21" s="134">
        <v>15</v>
      </c>
    </row>
    <row r="22" spans="3:23" ht="12.75" customHeight="1">
      <c r="C22" s="135"/>
      <c r="D22" s="136" t="str">
        <f>+Daten!F13</f>
        <v>Gruppe F</v>
      </c>
      <c r="E22" s="83"/>
      <c r="F22" s="81" t="str">
        <f>+D23</f>
        <v>TV Sottrum</v>
      </c>
      <c r="G22" s="84"/>
      <c r="H22" s="83"/>
      <c r="I22" s="81" t="str">
        <f>+D25</f>
        <v>TuS Concordia Hülsede</v>
      </c>
      <c r="J22" s="84"/>
      <c r="K22" s="83"/>
      <c r="L22" s="81" t="str">
        <f>+D27</f>
        <v>TSV Wuchzenhofen</v>
      </c>
      <c r="M22" s="84"/>
      <c r="N22" s="83"/>
      <c r="O22" s="81" t="str">
        <f>+D29</f>
        <v>TSV Babenhausen</v>
      </c>
      <c r="P22" s="84"/>
      <c r="Q22" s="83"/>
      <c r="R22" s="81" t="str">
        <f>+D31</f>
        <v>TV Berkenbaum</v>
      </c>
      <c r="S22" s="84"/>
      <c r="T22" s="85"/>
      <c r="U22" s="86" t="s">
        <v>20</v>
      </c>
      <c r="V22" s="87"/>
      <c r="W22" s="88" t="s">
        <v>21</v>
      </c>
    </row>
    <row r="23" spans="1:29" ht="15" customHeight="1">
      <c r="A23" s="33">
        <v>11</v>
      </c>
      <c r="C23" s="90" t="str">
        <f>IF(Daten!E14="","",Daten!E14)</f>
        <v>NI</v>
      </c>
      <c r="D23" s="91" t="str">
        <f>IF(Daten!F14="","",Daten!F14)</f>
        <v>TV Sottrum</v>
      </c>
      <c r="E23" s="92"/>
      <c r="F23" s="93"/>
      <c r="G23" s="94"/>
      <c r="H23" s="95">
        <f>IF(ISERROR(VLOOKUP($A$3&amp;TEXT($A23,"00")&amp;TEXT(I$21,"00"),Samstag!$A$24:$Y$205,16,FALSE)),"",VLOOKUP($A$3&amp;TEXT($A23,"00")&amp;TEXT(I$21,"00"),Samstag!$A$24:$Y$205,16,FALSE))</f>
        <v>32</v>
      </c>
      <c r="I23" s="96" t="s">
        <v>22</v>
      </c>
      <c r="J23" s="97">
        <f>IF(ISERROR(VLOOKUP($A$3&amp;TEXT($A23,"00")&amp;TEXT(I$21,"00"),Samstag!$A$24:$Y$205,18,FALSE)),"",VLOOKUP($A$3&amp;TEXT($A23,"00")&amp;TEXT(I$21,"00"),Samstag!$A$24:$Y$205,18,FALSE))</f>
        <v>33</v>
      </c>
      <c r="K23" s="95">
        <f>IF(ISERROR(VLOOKUP($A$3&amp;TEXT($A23,"00")&amp;TEXT(L$21,"00"),Samstag!$A$24:$Y$205,16,FALSE)),"",VLOOKUP($A$3&amp;TEXT($A23,"00")&amp;TEXT(L$21,"00"),Samstag!$A$24:$Y$205,16,FALSE))</f>
        <v>40</v>
      </c>
      <c r="L23" s="96" t="s">
        <v>22</v>
      </c>
      <c r="M23" s="97">
        <f>IF(ISERROR(VLOOKUP($A$3&amp;TEXT($A23,"00")&amp;TEXT(L$21,"00"),Samstag!$A$24:$Y$205,18,FALSE)),"",VLOOKUP($A$3&amp;TEXT($A23,"00")&amp;TEXT(L$21,"00"),Samstag!$A$24:$Y$205,18,FALSE))</f>
        <v>21</v>
      </c>
      <c r="N23" s="95">
        <f>IF(ISERROR(VLOOKUP($A$3&amp;TEXT($A23,"00")&amp;TEXT(O$21,"00"),Samstag!$A$24:$Y$205,16,FALSE)),"",VLOOKUP($A$3&amp;TEXT($A23,"00")&amp;TEXT(O$21,"00"),Samstag!$A$24:$Y$205,16,FALSE))</f>
        <v>39</v>
      </c>
      <c r="O23" s="96" t="s">
        <v>22</v>
      </c>
      <c r="P23" s="97">
        <f>IF(ISERROR(VLOOKUP($A$3&amp;TEXT($A23,"00")&amp;TEXT(O$21,"00"),Samstag!$A$24:$Y$205,18,FALSE)),"",VLOOKUP($A$3&amp;TEXT($A23,"00")&amp;TEXT(O$21,"00"),Samstag!$A$24:$Y$205,18,FALSE))</f>
        <v>25</v>
      </c>
      <c r="Q23" s="95">
        <f>IF(ISERROR(VLOOKUP($A$3&amp;TEXT($A23,"00")&amp;TEXT(R$21,"00"),Samstag!$A$24:$Y$205,16,FALSE)),"",VLOOKUP($A$3&amp;TEXT($A23,"00")&amp;TEXT(R$21,"00"),Samstag!$A$24:$Y$205,16,FALSE))</f>
        <v>33</v>
      </c>
      <c r="R23" s="96" t="s">
        <v>22</v>
      </c>
      <c r="S23" s="97">
        <f>IF(ISERROR(VLOOKUP($A$3&amp;TEXT($A23,"00")&amp;TEXT(R$21,"00"),Samstag!$A$24:$Y$205,18,FALSE)),"",VLOOKUP($A$3&amp;TEXT($A23,"00")&amp;TEXT(R$21,"00"),Samstag!$A$24:$Y$205,18,FALSE))</f>
        <v>23</v>
      </c>
      <c r="T23" s="98">
        <f>IF(Y24="","",SUM(E23,H23,K23,N23,Q23))</f>
        <v>144</v>
      </c>
      <c r="U23" s="96" t="s">
        <v>22</v>
      </c>
      <c r="V23" s="99">
        <f>IF(Y24="","",SUM(G23,J23,M23,P23,S23))</f>
        <v>102</v>
      </c>
      <c r="W23" s="100">
        <f>IF(Y23="","",RANK(X24,($X$24,$X$26,$X$28,$X$30,$X$32),0))</f>
        <v>2</v>
      </c>
      <c r="Y23" s="101" t="s">
        <v>197</v>
      </c>
      <c r="AB23" s="3">
        <v>1</v>
      </c>
      <c r="AC23" s="3" t="str">
        <f>IF(W23="","",IF($W$23=1,$D$23,IF($W$25=1,$D$25,IF($W$27=1,$D$27,IF($W$29=1,$D$29,IF($W$31=1,$D$31,0))))))</f>
        <v>TuS Concordia Hülsede</v>
      </c>
    </row>
    <row r="24" spans="3:25" ht="10.5" customHeight="1">
      <c r="C24" s="137"/>
      <c r="D24" s="138"/>
      <c r="E24" s="105"/>
      <c r="F24" s="106"/>
      <c r="G24" s="107"/>
      <c r="H24" s="108">
        <f>IF(H23=0,"",IF(H23&gt;J23,2,IF(H23&lt;J23,0,1)))</f>
        <v>0</v>
      </c>
      <c r="I24" s="52" t="s">
        <v>23</v>
      </c>
      <c r="J24" s="109">
        <f>IF(J23=0,"",IF(J23&gt;H23,2,IF(J23&lt;H23,0,1)))</f>
        <v>2</v>
      </c>
      <c r="K24" s="108">
        <f>IF(K23=0,"",IF(K23&gt;M23,2,IF(K23&lt;M23,0,1)))</f>
        <v>2</v>
      </c>
      <c r="L24" s="52" t="s">
        <v>23</v>
      </c>
      <c r="M24" s="109">
        <f>IF(M23=0,"",IF(M23&gt;K23,2,IF(M23&lt;K23,0,1)))</f>
        <v>0</v>
      </c>
      <c r="N24" s="108">
        <f>IF(N23=0,"",IF(N23&gt;P23,2,IF(N23&lt;P23,0,1)))</f>
        <v>2</v>
      </c>
      <c r="O24" s="52" t="s">
        <v>23</v>
      </c>
      <c r="P24" s="109">
        <f>IF(P23=0,"",IF(P23&gt;N23,2,IF(P23&lt;N23,0,1)))</f>
        <v>0</v>
      </c>
      <c r="Q24" s="108">
        <f>IF(Q23=0,"",IF(Q23&gt;S23,2,IF(Q23&lt;S23,0,1)))</f>
        <v>2</v>
      </c>
      <c r="R24" s="52" t="s">
        <v>23</v>
      </c>
      <c r="S24" s="109">
        <f>IF(S23=0,"",IF(S23&gt;Q23,2,IF(S23&lt;Q23,0,1)))</f>
        <v>0</v>
      </c>
      <c r="T24" s="108">
        <f>IF(Y24="","",SUM(E24,H24,K24,N24,Q24))</f>
        <v>6</v>
      </c>
      <c r="U24" s="52" t="s">
        <v>23</v>
      </c>
      <c r="V24" s="109">
        <f>IF(Y24="","",SUM(G24,J24,M24,P24,S24))</f>
        <v>2</v>
      </c>
      <c r="W24" s="110"/>
      <c r="X24" s="111">
        <f>+(T24-V24)+T23/V23+T24</f>
        <v>11.411764705882353</v>
      </c>
      <c r="Y24" s="101" t="s">
        <v>197</v>
      </c>
    </row>
    <row r="25" spans="1:29" ht="15" customHeight="1">
      <c r="A25" s="33">
        <v>12</v>
      </c>
      <c r="C25" s="90" t="str">
        <f>IF(Daten!E15="","",Daten!E15)</f>
        <v>NI</v>
      </c>
      <c r="D25" s="91" t="str">
        <f>IF(Daten!F15="","",Daten!F15)</f>
        <v>TuS Concordia Hülsede</v>
      </c>
      <c r="E25" s="95">
        <f>IF(J23=0,"",J23)</f>
        <v>33</v>
      </c>
      <c r="F25" s="96" t="s">
        <v>22</v>
      </c>
      <c r="G25" s="97">
        <f>IF(H23=0,"",H23)</f>
        <v>32</v>
      </c>
      <c r="H25" s="92"/>
      <c r="I25" s="93"/>
      <c r="J25" s="94"/>
      <c r="K25" s="95">
        <f>IF(ISERROR(VLOOKUP($A$3&amp;TEXT($A25,"00")&amp;TEXT(L$21,"00"),Samstag!$A$24:$Y$205,16,FALSE)),"",VLOOKUP($A$3&amp;TEXT($A25,"00")&amp;TEXT(L$21,"00"),Samstag!$A$24:$Y$205,16,FALSE))</f>
        <v>40</v>
      </c>
      <c r="L25" s="96" t="s">
        <v>22</v>
      </c>
      <c r="M25" s="97">
        <f>IF(ISERROR(VLOOKUP($A$3&amp;TEXT($A25,"00")&amp;TEXT(L$21,"00"),Samstag!$A$24:$Y$205,18,FALSE)),"",VLOOKUP($A$3&amp;TEXT($A25,"00")&amp;TEXT(L$21,"00"),Samstag!$A$24:$Y$205,18,FALSE))</f>
        <v>25</v>
      </c>
      <c r="N25" s="95">
        <f>IF(ISERROR(VLOOKUP($A$3&amp;TEXT($A25,"00")&amp;TEXT(O$21,"00"),Samstag!$A$24:$Y$205,16,FALSE)),"",VLOOKUP($A$3&amp;TEXT($A25,"00")&amp;TEXT(O$21,"00"),Samstag!$A$24:$Y$205,16,FALSE))</f>
        <v>36</v>
      </c>
      <c r="O25" s="96" t="s">
        <v>22</v>
      </c>
      <c r="P25" s="97">
        <f>IF(ISERROR(VLOOKUP($A$3&amp;TEXT($A25,"00")&amp;TEXT(O$21,"00"),Samstag!$A$24:$Y$205,18,FALSE)),"",VLOOKUP($A$3&amp;TEXT($A25,"00")&amp;TEXT(O$21,"00"),Samstag!$A$24:$Y$205,18,FALSE))</f>
        <v>25</v>
      </c>
      <c r="Q25" s="95">
        <f>IF(ISERROR(VLOOKUP($A$3&amp;TEXT($A25,"00")&amp;TEXT(R$21,"00"),Samstag!$A$24:$Y$205,16,FALSE)),"",VLOOKUP($A$3&amp;TEXT($A25,"00")&amp;TEXT(R$21,"00"),Samstag!$A$24:$Y$205,16,FALSE))</f>
        <v>40</v>
      </c>
      <c r="R25" s="96" t="s">
        <v>22</v>
      </c>
      <c r="S25" s="97">
        <f>IF(ISERROR(VLOOKUP($A$3&amp;TEXT($A25,"00")&amp;TEXT(R$21,"00"),Samstag!$A$24:$Y$205,18,FALSE)),"",VLOOKUP($A$3&amp;TEXT($A25,"00")&amp;TEXT(R$21,"00"),Samstag!$A$24:$Y$205,18,FALSE))</f>
        <v>22</v>
      </c>
      <c r="T25" s="98">
        <f>IF(Y26="","",SUM(E25,H25,K25,N25,Q25))</f>
        <v>149</v>
      </c>
      <c r="U25" s="96" t="s">
        <v>22</v>
      </c>
      <c r="V25" s="99">
        <f>IF(Y26="","",SUM(G25,J25,M25,P25,S25))</f>
        <v>104</v>
      </c>
      <c r="W25" s="100">
        <f>IF(Y25="","",RANK(X26,($X$24,$X$26,$X$28,$X$30,$X$32),0))</f>
        <v>1</v>
      </c>
      <c r="Y25" s="101" t="s">
        <v>197</v>
      </c>
      <c r="AB25" s="3">
        <v>2</v>
      </c>
      <c r="AC25" s="3" t="str">
        <f>IF(W25="","",IF($W$23=2,$D$23,IF($W$25=2,$D$25,IF($W$27=2,$D$27,IF($W$29=2,$D$29,IF($W$31=2,$D$31,0))))))</f>
        <v>TV Sottrum</v>
      </c>
    </row>
    <row r="26" spans="3:25" ht="10.5" customHeight="1">
      <c r="C26" s="137"/>
      <c r="D26" s="138"/>
      <c r="E26" s="108">
        <f>IF(E25="","",IF(E25&gt;G25,2,IF(E25&lt;G25,0,1)))</f>
        <v>2</v>
      </c>
      <c r="F26" s="52" t="s">
        <v>23</v>
      </c>
      <c r="G26" s="109">
        <f>IF(G25="","",IF(G25&gt;E25,2,IF(G25&lt;E25,0,1)))</f>
        <v>0</v>
      </c>
      <c r="H26" s="105"/>
      <c r="I26" s="106"/>
      <c r="J26" s="107"/>
      <c r="K26" s="108">
        <f>IF(K25=0,"",IF(K25&gt;M25,2,IF(K25&lt;M25,0,1)))</f>
        <v>2</v>
      </c>
      <c r="L26" s="52" t="s">
        <v>23</v>
      </c>
      <c r="M26" s="109">
        <f>IF(M25=0,"",IF(M25&gt;K25,2,IF(M25&lt;K25,0,1)))</f>
        <v>0</v>
      </c>
      <c r="N26" s="108">
        <f>IF(N25=0,"",IF(N25&gt;P25,2,IF(N25&lt;P25,0,1)))</f>
        <v>2</v>
      </c>
      <c r="O26" s="52" t="s">
        <v>23</v>
      </c>
      <c r="P26" s="109">
        <f>IF(P25=0,"",IF(P25&gt;N25,2,IF(P25&lt;N25,0,1)))</f>
        <v>0</v>
      </c>
      <c r="Q26" s="108">
        <f>IF(Q25=0,"",IF(Q25&gt;S25,2,IF(Q25&lt;S25,0,1)))</f>
        <v>2</v>
      </c>
      <c r="R26" s="52" t="s">
        <v>23</v>
      </c>
      <c r="S26" s="109">
        <f>IF(S25=0,"",IF(S25&gt;Q25,2,IF(S25&lt;Q25,0,1)))</f>
        <v>0</v>
      </c>
      <c r="T26" s="108">
        <f>IF(Y26="","",SUM(E26,H26,K26,N26,Q26))</f>
        <v>8</v>
      </c>
      <c r="U26" s="52" t="s">
        <v>23</v>
      </c>
      <c r="V26" s="109">
        <f>IF(Y26="","",SUM(G26,J26,M26,P26,S26))</f>
        <v>0</v>
      </c>
      <c r="W26" s="110"/>
      <c r="X26" s="111">
        <f>+(T26-V26)+T25/V25+T26</f>
        <v>17.432692307692307</v>
      </c>
      <c r="Y26" s="101" t="s">
        <v>197</v>
      </c>
    </row>
    <row r="27" spans="1:29" ht="15" customHeight="1">
      <c r="A27" s="33">
        <v>13</v>
      </c>
      <c r="C27" s="90" t="str">
        <f>IF(Daten!E16="","",Daten!E16)</f>
        <v>SW</v>
      </c>
      <c r="D27" s="91" t="str">
        <f>IF(Daten!F16="","",Daten!F16)</f>
        <v>TSV Wuchzenhofen</v>
      </c>
      <c r="E27" s="98">
        <f>IF(M23=0,"",M23)</f>
        <v>21</v>
      </c>
      <c r="F27" s="96" t="s">
        <v>22</v>
      </c>
      <c r="G27" s="99">
        <f>IF(K23=0,"",K23)</f>
        <v>40</v>
      </c>
      <c r="H27" s="95">
        <f>IF(M25=0,"",M25)</f>
        <v>25</v>
      </c>
      <c r="I27" s="96" t="s">
        <v>22</v>
      </c>
      <c r="J27" s="97">
        <f>IF(K25=0,"",K25)</f>
        <v>40</v>
      </c>
      <c r="K27" s="92"/>
      <c r="L27" s="93"/>
      <c r="M27" s="94"/>
      <c r="N27" s="95">
        <f>IF(ISERROR(VLOOKUP($A$3&amp;TEXT($A27,"00")&amp;TEXT(O$21,"00"),Samstag!$A$24:$Y$205,16,FALSE)),"",VLOOKUP($A$3&amp;TEXT($A27,"00")&amp;TEXT(O$21,"00"),Samstag!$A$24:$Y$205,16,FALSE))</f>
        <v>31</v>
      </c>
      <c r="O27" s="96" t="s">
        <v>22</v>
      </c>
      <c r="P27" s="97">
        <f>IF(ISERROR(VLOOKUP($A$3&amp;TEXT($A27,"00")&amp;TEXT(O$21,"00"),Samstag!$A$24:$Y$205,18,FALSE)),"",VLOOKUP($A$3&amp;TEXT($A27,"00")&amp;TEXT(O$21,"00"),Samstag!$A$24:$Y$205,18,FALSE))</f>
        <v>32</v>
      </c>
      <c r="Q27" s="95">
        <f>IF(ISERROR(VLOOKUP($A$3&amp;TEXT($A27,"00")&amp;TEXT(R$21,"00"),Samstag!$A$24:$Y$205,16,FALSE)),"",VLOOKUP($A$3&amp;TEXT($A27,"00")&amp;TEXT(R$21,"00"),Samstag!$A$24:$Y$205,16,FALSE))</f>
        <v>31</v>
      </c>
      <c r="R27" s="96" t="s">
        <v>22</v>
      </c>
      <c r="S27" s="97">
        <f>IF(ISERROR(VLOOKUP($A$3&amp;TEXT($A27,"00")&amp;TEXT(R$21,"00"),Samstag!$A$24:$Y$205,18,FALSE)),"",VLOOKUP($A$3&amp;TEXT($A27,"00")&amp;TEXT(R$21,"00"),Samstag!$A$24:$Y$205,18,FALSE))</f>
        <v>27</v>
      </c>
      <c r="T27" s="98">
        <f>IF(Y28="","",SUM(E27,H27,K27,N27,Q27))</f>
        <v>108</v>
      </c>
      <c r="U27" s="96" t="s">
        <v>22</v>
      </c>
      <c r="V27" s="99">
        <f>IF(Y28="","",SUM(G27,J27,M27,P27,S27))</f>
        <v>139</v>
      </c>
      <c r="W27" s="112">
        <f>IF(Y27="","",RANK(X28,($X$24,$X$26,$X$28,$X$30,$X$32),0))</f>
        <v>4</v>
      </c>
      <c r="Y27" s="101" t="s">
        <v>197</v>
      </c>
      <c r="AB27" s="3">
        <v>3</v>
      </c>
      <c r="AC27" s="3" t="str">
        <f>IF(W27="","",IF($W$23=3,$D$23,IF($W$25=3,$D$25,IF($W$27=3,$D$27,IF($W$29=3,$D$29,IF($W$31=3,$D$31,0))))))</f>
        <v>TSV Babenhausen</v>
      </c>
    </row>
    <row r="28" spans="3:25" ht="10.5" customHeight="1">
      <c r="C28" s="139"/>
      <c r="D28" s="140"/>
      <c r="E28" s="108">
        <f>IF(E27="","",IF(E27&gt;G27,2,IF(E27&lt;G27,0,1)))</f>
        <v>0</v>
      </c>
      <c r="F28" s="52" t="s">
        <v>23</v>
      </c>
      <c r="G28" s="109">
        <f>IF(G27="","",IF(G27&gt;E27,2,IF(G27&lt;E27,0,1)))</f>
        <v>2</v>
      </c>
      <c r="H28" s="108">
        <f>IF(H27="","",IF(H27&gt;J27,2,IF(H27&lt;J27,0,1)))</f>
        <v>0</v>
      </c>
      <c r="I28" s="52" t="s">
        <v>23</v>
      </c>
      <c r="J28" s="109">
        <f>IF(J27="","",IF(J27&gt;H27,2,IF(J27&lt;H27,0,1)))</f>
        <v>2</v>
      </c>
      <c r="K28" s="105"/>
      <c r="L28" s="106"/>
      <c r="M28" s="107"/>
      <c r="N28" s="108">
        <f>IF(N27=0,"",IF(N27&gt;P27,2,IF(N27&lt;P27,0,1)))</f>
        <v>0</v>
      </c>
      <c r="O28" s="52" t="s">
        <v>23</v>
      </c>
      <c r="P28" s="109">
        <f>IF(P27=0,"",IF(P27&gt;N27,2,IF(P27&lt;N27,0,1)))</f>
        <v>2</v>
      </c>
      <c r="Q28" s="108">
        <f>IF(Q27=0,"",IF(Q27&gt;S27,2,IF(Q27&lt;S27,0,1)))</f>
        <v>2</v>
      </c>
      <c r="R28" s="52" t="s">
        <v>23</v>
      </c>
      <c r="S28" s="109">
        <f>IF(S27=0,"",IF(S27&gt;Q27,2,IF(S27&lt;Q27,0,1)))</f>
        <v>0</v>
      </c>
      <c r="T28" s="108">
        <f>IF(Y28="","",SUM(E28,H28,K28,N28,Q28))</f>
        <v>2</v>
      </c>
      <c r="U28" s="52" t="s">
        <v>23</v>
      </c>
      <c r="V28" s="109">
        <f>IF(Y28="","",SUM(G28,J28,M28,P28,S28))</f>
        <v>6</v>
      </c>
      <c r="W28" s="110"/>
      <c r="X28" s="111">
        <f>+(T28-V28)+T27/V27+T28</f>
        <v>-1.223021582733813</v>
      </c>
      <c r="Y28" s="101" t="s">
        <v>197</v>
      </c>
    </row>
    <row r="29" spans="1:29" ht="15" customHeight="1">
      <c r="A29" s="33">
        <v>14</v>
      </c>
      <c r="C29" s="90" t="str">
        <f>IF(Daten!E17="","",Daten!E17)</f>
        <v>BY</v>
      </c>
      <c r="D29" s="91" t="str">
        <f>IF(Daten!F17="","",Daten!F17)</f>
        <v>TSV Babenhausen</v>
      </c>
      <c r="E29" s="98">
        <f>IF(P23=0,"",P23)</f>
        <v>25</v>
      </c>
      <c r="F29" s="96" t="s">
        <v>22</v>
      </c>
      <c r="G29" s="99">
        <f>IF(N23=0,"",N23)</f>
        <v>39</v>
      </c>
      <c r="H29" s="98">
        <f>IF(P25=0,"",P25)</f>
        <v>25</v>
      </c>
      <c r="I29" s="96" t="s">
        <v>22</v>
      </c>
      <c r="J29" s="99">
        <f>IF(N25=0,"",N25)</f>
        <v>36</v>
      </c>
      <c r="K29" s="95">
        <f>IF(P27=0,"",P27)</f>
        <v>32</v>
      </c>
      <c r="L29" s="96" t="s">
        <v>22</v>
      </c>
      <c r="M29" s="97">
        <f>IF(N27=0,"",N27)</f>
        <v>31</v>
      </c>
      <c r="N29" s="92"/>
      <c r="O29" s="93"/>
      <c r="P29" s="94"/>
      <c r="Q29" s="95">
        <f>IF(ISERROR(VLOOKUP($A$3&amp;TEXT($A29,"00")&amp;TEXT(R$21,"00"),Samstag!$A$24:$Y$205,16,FALSE)),"",VLOOKUP($A$3&amp;TEXT($A29,"00")&amp;TEXT(R$21,"00"),Samstag!$A$24:$Y$205,16,FALSE))</f>
        <v>26</v>
      </c>
      <c r="R29" s="96" t="s">
        <v>22</v>
      </c>
      <c r="S29" s="97">
        <f>IF(ISERROR(VLOOKUP($A$3&amp;TEXT($A29,"00")&amp;TEXT(R$21,"00"),Samstag!$A$24:$Y$205,18,FALSE)),"",VLOOKUP($A$3&amp;TEXT($A29,"00")&amp;TEXT(R$21,"00"),Samstag!$A$24:$Y$205,18,FALSE))</f>
        <v>25</v>
      </c>
      <c r="T29" s="98">
        <f>IF(Y30="","",SUM(E29,H29,K29,N29,Q29))</f>
        <v>108</v>
      </c>
      <c r="U29" s="96" t="s">
        <v>22</v>
      </c>
      <c r="V29" s="99">
        <f>IF(Y30="","",SUM(G29,J29,M29,P29,S29))</f>
        <v>131</v>
      </c>
      <c r="W29" s="112">
        <f>IF(Y29="","",RANK(X30,($X$24,$X$26,$X$28,$X$30,$X$32),0))</f>
        <v>3</v>
      </c>
      <c r="Y29" s="101" t="s">
        <v>197</v>
      </c>
      <c r="AB29" s="3">
        <v>4</v>
      </c>
      <c r="AC29" s="3" t="str">
        <f>IF(W29="","",IF($W$23=4,$D$23,IF($W$25=4,$D$25,IF($W$27=4,$D$27,IF($W$29=4,$D$29,IF($W$31=4,$D$31,0))))))</f>
        <v>TSV Wuchzenhofen</v>
      </c>
    </row>
    <row r="30" spans="3:25" ht="10.5" customHeight="1">
      <c r="C30" s="137"/>
      <c r="D30" s="140"/>
      <c r="E30" s="108">
        <f>IF(E29="","",IF(E29&gt;G29,2,IF(E29&lt;G29,0,1)))</f>
        <v>0</v>
      </c>
      <c r="F30" s="52" t="s">
        <v>23</v>
      </c>
      <c r="G30" s="109">
        <f>IF(G29="","",IF(G29&gt;E29,2,IF(G29&lt;E29,0,1)))</f>
        <v>2</v>
      </c>
      <c r="H30" s="108">
        <f>IF(H29="","",IF(H29&gt;J29,2,IF(H29&lt;J29,0,1)))</f>
        <v>0</v>
      </c>
      <c r="I30" s="52" t="s">
        <v>23</v>
      </c>
      <c r="J30" s="109">
        <f>IF(J29="","",IF(J29&gt;H29,2,IF(J29&lt;H29,0,1)))</f>
        <v>2</v>
      </c>
      <c r="K30" s="108">
        <f>IF(K29="","",IF(K29&gt;M29,2,IF(K29&lt;M29,0,1)))</f>
        <v>2</v>
      </c>
      <c r="L30" s="52" t="s">
        <v>23</v>
      </c>
      <c r="M30" s="109">
        <f>IF(M29="","",IF(M29&gt;K29,2,IF(M29&lt;K29,0,1)))</f>
        <v>0</v>
      </c>
      <c r="N30" s="105"/>
      <c r="O30" s="106"/>
      <c r="P30" s="107"/>
      <c r="Q30" s="108">
        <f>IF(Q29=0,"",IF(Q29&gt;S29,2,IF(Q29&lt;S29,0,1)))</f>
        <v>2</v>
      </c>
      <c r="R30" s="52" t="s">
        <v>23</v>
      </c>
      <c r="S30" s="109">
        <f>IF(S29=0,"",IF(S29&gt;Q29,2,IF(S29&lt;Q29,0,1)))</f>
        <v>0</v>
      </c>
      <c r="T30" s="108">
        <f>IF(Y30="","",SUM(E30,H30,K30,N30,Q30))</f>
        <v>4</v>
      </c>
      <c r="U30" s="52" t="s">
        <v>23</v>
      </c>
      <c r="V30" s="109">
        <f>IF(Y30="","",SUM(G30,J30,M30,P30,S30))</f>
        <v>4</v>
      </c>
      <c r="W30" s="110"/>
      <c r="X30" s="111">
        <f>+(T30-V30)+T29/V29+T30</f>
        <v>4.824427480916031</v>
      </c>
      <c r="Y30" s="101" t="s">
        <v>197</v>
      </c>
    </row>
    <row r="31" spans="1:29" ht="15" customHeight="1">
      <c r="A31" s="33">
        <v>15</v>
      </c>
      <c r="C31" s="90" t="str">
        <f>IF(Daten!E18="","",Daten!E18)</f>
        <v>WE</v>
      </c>
      <c r="D31" s="91" t="str">
        <f>IF(Daten!F18="","",Daten!F18)</f>
        <v>TV Berkenbaum</v>
      </c>
      <c r="E31" s="98">
        <f>IF(S23=0,"",S23)</f>
        <v>23</v>
      </c>
      <c r="F31" s="96" t="s">
        <v>22</v>
      </c>
      <c r="G31" s="99">
        <f>IF(Q23=0,"",Q23)</f>
        <v>33</v>
      </c>
      <c r="H31" s="98">
        <f>IF(S25=0,"",S25)</f>
        <v>22</v>
      </c>
      <c r="I31" s="96" t="s">
        <v>22</v>
      </c>
      <c r="J31" s="99">
        <f>IF(Q25=0,"",Q25)</f>
        <v>40</v>
      </c>
      <c r="K31" s="98">
        <f>IF(S27=0,"",S27)</f>
        <v>27</v>
      </c>
      <c r="L31" s="96" t="s">
        <v>22</v>
      </c>
      <c r="M31" s="99">
        <f>IF(Q27=0,"",Q27)</f>
        <v>31</v>
      </c>
      <c r="N31" s="95">
        <f>IF(S29=0,"",S29)</f>
        <v>25</v>
      </c>
      <c r="O31" s="96" t="s">
        <v>22</v>
      </c>
      <c r="P31" s="97">
        <f>IF(Q29=0,"",Q29)</f>
        <v>26</v>
      </c>
      <c r="Q31" s="92"/>
      <c r="R31" s="93"/>
      <c r="S31" s="94"/>
      <c r="T31" s="98">
        <f>IF(Y32="","",SUM(E31,H31,K31,N31,Q31))</f>
        <v>97</v>
      </c>
      <c r="U31" s="96" t="s">
        <v>22</v>
      </c>
      <c r="V31" s="99">
        <f>IF(Y32="","",SUM(G31,J31,M31,P31,S31))</f>
        <v>130</v>
      </c>
      <c r="W31" s="100">
        <f>IF(Y31="","",RANK(X32,($X$24,$X$26,$X$28,$X$30,$X$32),0))</f>
        <v>5</v>
      </c>
      <c r="Y31" s="101" t="s">
        <v>197</v>
      </c>
      <c r="AB31" s="3">
        <v>5</v>
      </c>
      <c r="AC31" s="3" t="str">
        <f>IF(W31="","",IF($W$23=5,$D$23,IF($W$25=5,$D$25,IF($W$27=5,$D$27,IF($W$29=5,$D$29,IF($W$31=5,$D$31,0))))))</f>
        <v>TV Berkenbaum</v>
      </c>
    </row>
    <row r="32" spans="3:25" ht="10.5" customHeight="1">
      <c r="C32" s="139"/>
      <c r="D32" s="140"/>
      <c r="E32" s="108">
        <f>IF(E31="","",IF(E31&gt;G31,2,IF(E31&lt;G31,0,1)))</f>
        <v>0</v>
      </c>
      <c r="F32" s="52" t="s">
        <v>23</v>
      </c>
      <c r="G32" s="109">
        <f>IF(G31="","",IF(G31&gt;E31,2,IF(G31&lt;E31,0,1)))</f>
        <v>2</v>
      </c>
      <c r="H32" s="108">
        <f>IF(H31="","",IF(H31&gt;J31,2,IF(H31&lt;J31,0,1)))</f>
        <v>0</v>
      </c>
      <c r="I32" s="52" t="s">
        <v>23</v>
      </c>
      <c r="J32" s="109">
        <f>IF(J31="","",IF(J31&gt;H31,2,IF(J31&lt;H31,0,1)))</f>
        <v>2</v>
      </c>
      <c r="K32" s="108">
        <f>IF(K31="","",IF(K31&gt;M31,2,IF(K31&lt;M31,0,1)))</f>
        <v>0</v>
      </c>
      <c r="L32" s="52" t="s">
        <v>23</v>
      </c>
      <c r="M32" s="109">
        <f>IF(M31="","",IF(M31&gt;K31,2,IF(M31&lt;K31,0,1)))</f>
        <v>2</v>
      </c>
      <c r="N32" s="108">
        <f>IF(N31="","",IF(N31&gt;P31,2,IF(N31&lt;P31,0,1)))</f>
        <v>0</v>
      </c>
      <c r="O32" s="52" t="s">
        <v>23</v>
      </c>
      <c r="P32" s="109">
        <f>IF(P31="","",IF(P31&gt;N31,2,IF(P31&lt;N31,0,1)))</f>
        <v>2</v>
      </c>
      <c r="Q32" s="105"/>
      <c r="R32" s="106"/>
      <c r="S32" s="107"/>
      <c r="T32" s="108">
        <f>IF(Y32="","",SUM(E32,H32,K32,N32,Q32))</f>
        <v>0</v>
      </c>
      <c r="U32" s="52" t="s">
        <v>23</v>
      </c>
      <c r="V32" s="109">
        <f>IF(Y32="","",SUM(G32,J32,M32,P32,S32))</f>
        <v>8</v>
      </c>
      <c r="W32" s="110"/>
      <c r="X32" s="111">
        <f>+(T32-V32)+T31/V31+T32</f>
        <v>-7.253846153846154</v>
      </c>
      <c r="Y32" s="101" t="s">
        <v>197</v>
      </c>
    </row>
    <row r="33" spans="3:25" ht="9.75" customHeight="1">
      <c r="C33" s="115"/>
      <c r="D33" s="115"/>
      <c r="E33" s="116"/>
      <c r="F33" s="96"/>
      <c r="G33" s="117"/>
      <c r="H33" s="116"/>
      <c r="I33" s="96"/>
      <c r="J33" s="117"/>
      <c r="K33" s="116"/>
      <c r="L33" s="96"/>
      <c r="M33" s="117"/>
      <c r="N33" s="116"/>
      <c r="O33" s="96"/>
      <c r="P33" s="117"/>
      <c r="Q33" s="118"/>
      <c r="R33" s="118"/>
      <c r="S33" s="118"/>
      <c r="T33" s="116"/>
      <c r="U33" s="96"/>
      <c r="V33" s="117"/>
      <c r="W33" s="119"/>
      <c r="X33" s="111"/>
      <c r="Y33" s="101"/>
    </row>
    <row r="34" spans="3:25" ht="9.75" customHeight="1" hidden="1" outlineLevel="1">
      <c r="C34" s="120" t="s">
        <v>24</v>
      </c>
      <c r="D34" s="121" t="str">
        <f>+D23</f>
        <v>TV Sottrum</v>
      </c>
      <c r="E34" s="122"/>
      <c r="F34" s="123"/>
      <c r="G34" s="124"/>
      <c r="H34" s="125"/>
      <c r="I34" s="126" t="s">
        <v>22</v>
      </c>
      <c r="J34" s="127"/>
      <c r="K34" s="125"/>
      <c r="L34" s="126" t="s">
        <v>22</v>
      </c>
      <c r="M34" s="127"/>
      <c r="N34" s="125"/>
      <c r="O34" s="126" t="s">
        <v>22</v>
      </c>
      <c r="P34" s="127"/>
      <c r="Q34" s="128"/>
      <c r="R34" s="126" t="s">
        <v>22</v>
      </c>
      <c r="S34" s="129"/>
      <c r="T34" s="56"/>
      <c r="U34" s="130"/>
      <c r="V34" s="131"/>
      <c r="W34" s="132"/>
      <c r="X34" s="111"/>
      <c r="Y34" s="101"/>
    </row>
    <row r="35" spans="3:25" ht="9.75" customHeight="1" hidden="1" outlineLevel="1">
      <c r="C35" s="133"/>
      <c r="D35" s="121" t="str">
        <f>+D25</f>
        <v>TuS Concordia Hülsede</v>
      </c>
      <c r="E35" s="125">
        <f>IF(J34="","",J34)</f>
      </c>
      <c r="F35" s="126" t="s">
        <v>22</v>
      </c>
      <c r="G35" s="127">
        <f>IF(H34="","",H34)</f>
      </c>
      <c r="H35" s="122"/>
      <c r="I35" s="123"/>
      <c r="J35" s="124"/>
      <c r="K35" s="125"/>
      <c r="L35" s="126" t="s">
        <v>22</v>
      </c>
      <c r="M35" s="127"/>
      <c r="N35" s="125"/>
      <c r="O35" s="126" t="s">
        <v>22</v>
      </c>
      <c r="P35" s="127"/>
      <c r="Q35" s="128"/>
      <c r="R35" s="126" t="s">
        <v>22</v>
      </c>
      <c r="S35" s="129"/>
      <c r="T35" s="56"/>
      <c r="U35" s="130"/>
      <c r="V35" s="131"/>
      <c r="W35" s="132"/>
      <c r="X35" s="111"/>
      <c r="Y35" s="101"/>
    </row>
    <row r="36" spans="3:25" ht="9.75" customHeight="1" hidden="1" outlineLevel="1">
      <c r="C36" s="133"/>
      <c r="D36" s="121" t="str">
        <f>+D27</f>
        <v>TSV Wuchzenhofen</v>
      </c>
      <c r="E36" s="125">
        <f>IF(M34="","",M34)</f>
      </c>
      <c r="F36" s="126" t="s">
        <v>22</v>
      </c>
      <c r="G36" s="127">
        <f>IF(K34="","",K34)</f>
      </c>
      <c r="H36" s="125">
        <f>IF(M35="","",M35)</f>
      </c>
      <c r="I36" s="126" t="s">
        <v>22</v>
      </c>
      <c r="J36" s="127">
        <f>IF(K35="","",K35)</f>
      </c>
      <c r="K36" s="122"/>
      <c r="L36" s="123"/>
      <c r="M36" s="124"/>
      <c r="N36" s="125"/>
      <c r="O36" s="126" t="s">
        <v>22</v>
      </c>
      <c r="P36" s="127"/>
      <c r="Q36" s="128"/>
      <c r="R36" s="126" t="s">
        <v>22</v>
      </c>
      <c r="S36" s="129"/>
      <c r="T36" s="56"/>
      <c r="U36" s="130"/>
      <c r="V36" s="131"/>
      <c r="W36" s="132"/>
      <c r="X36" s="111"/>
      <c r="Y36" s="101"/>
    </row>
    <row r="37" spans="3:25" ht="9.75" customHeight="1" hidden="1" outlineLevel="1">
      <c r="C37" s="133"/>
      <c r="D37" s="121" t="str">
        <f>+D29</f>
        <v>TSV Babenhausen</v>
      </c>
      <c r="E37" s="125">
        <f>IF(P34="","",P34)</f>
      </c>
      <c r="F37" s="126" t="s">
        <v>22</v>
      </c>
      <c r="G37" s="127">
        <f>IF(N34="","",N34)</f>
      </c>
      <c r="H37" s="125">
        <f>IF(P35="","",P35)</f>
      </c>
      <c r="I37" s="126" t="s">
        <v>22</v>
      </c>
      <c r="J37" s="127">
        <f>IF(N35="","",N35)</f>
      </c>
      <c r="K37" s="125">
        <f>IF(P36="","",P36)</f>
      </c>
      <c r="L37" s="126" t="s">
        <v>22</v>
      </c>
      <c r="M37" s="127">
        <f>IF(N36="","",N36)</f>
      </c>
      <c r="N37" s="122"/>
      <c r="O37" s="123"/>
      <c r="P37" s="124"/>
      <c r="Q37" s="128"/>
      <c r="R37" s="126" t="s">
        <v>22</v>
      </c>
      <c r="S37" s="129"/>
      <c r="T37" s="56"/>
      <c r="U37" s="130"/>
      <c r="V37" s="131"/>
      <c r="W37" s="132"/>
      <c r="X37" s="111"/>
      <c r="Y37" s="101"/>
    </row>
    <row r="38" spans="4:19" ht="9.75" customHeight="1" hidden="1" outlineLevel="1">
      <c r="D38" s="121" t="str">
        <f>+D31</f>
        <v>TV Berkenbaum</v>
      </c>
      <c r="E38" s="125">
        <f>IF(S34="","",S34)</f>
      </c>
      <c r="F38" s="126" t="s">
        <v>22</v>
      </c>
      <c r="G38" s="127">
        <f>IF(Q34="","",Q34)</f>
      </c>
      <c r="H38" s="125">
        <f>IF(S35="","",S35)</f>
      </c>
      <c r="I38" s="126" t="s">
        <v>22</v>
      </c>
      <c r="J38" s="127">
        <f>IF(Q35="","",Q35)</f>
      </c>
      <c r="K38" s="125">
        <f>IF(S36="","",S36)</f>
      </c>
      <c r="L38" s="126" t="s">
        <v>22</v>
      </c>
      <c r="M38" s="127">
        <f>IF(Q36="","",Q36)</f>
      </c>
      <c r="N38" s="125">
        <f>IF(S37="","",S37)</f>
      </c>
      <c r="O38" s="126" t="s">
        <v>22</v>
      </c>
      <c r="P38" s="127">
        <f>IF(Q37="","",Q37)</f>
      </c>
      <c r="Q38" s="122"/>
      <c r="R38" s="123"/>
      <c r="S38" s="124"/>
    </row>
    <row r="39" ht="18" customHeight="1" collapsed="1">
      <c r="C39" s="3" t="s">
        <v>157</v>
      </c>
    </row>
    <row r="40" spans="1:16" ht="17.25" customHeight="1">
      <c r="A40" s="33" t="s">
        <v>198</v>
      </c>
      <c r="B40" s="3" t="s">
        <v>25</v>
      </c>
      <c r="C40" s="141" t="str">
        <f>"4."&amp;+$D$4&amp;"  5."&amp;+$D$22</f>
        <v>4.Gruppe E  5.Gruppe F</v>
      </c>
      <c r="D40" s="142" t="str">
        <f>IF($Y$31="","",(IF(ISERROR(VLOOKUP($A$3&amp;TEXT($A40,"00"),Sonntag!$A$24:$X$205,8,FALSE)),"",VLOOKUP($A$3&amp;TEXT($A40,"00"),Sonntag!$A$24:$X$205,8,FALSE)))&amp;" : "&amp;IF($Y$31="","",IF(ISERROR(VLOOKUP($A$3&amp;TEXT($A40,"00"),Sonntag!$A$24:$X$205,11,FALSE)),"",VLOOKUP($A$3&amp;TEXT($A40,"00"),Sonntag!$A$24:$X$205,11,FALSE))))</f>
        <v>SV Diepoldshofen : TV Berkenbaum</v>
      </c>
      <c r="E40" s="143"/>
      <c r="F40" s="143"/>
      <c r="G40" s="143"/>
      <c r="H40" s="143"/>
      <c r="I40" s="144"/>
      <c r="J40" s="136"/>
      <c r="K40" s="145">
        <f>IF(ISERROR(VLOOKUP($A$3&amp;TEXT($A40,"00"),Sonntag!$A$24:$X$205,16,FALSE)),"",VLOOKUP($A$3&amp;TEXT($A40,"00"),Sonntag!$A$24:$X$205,16,FALSE))</f>
        <v>36</v>
      </c>
      <c r="L40" s="146" t="s">
        <v>22</v>
      </c>
      <c r="M40" s="147">
        <f>IF(ISERROR(VLOOKUP($A$3&amp;TEXT($A40,"00"),Sonntag!$A$24:$X$205,18,FALSE)),"",VLOOKUP($A$3&amp;TEXT($A40,"00"),Sonntag!$A$24:$X$205,18,FALSE))</f>
        <v>31</v>
      </c>
      <c r="N40" s="148"/>
      <c r="O40" s="149"/>
      <c r="P40" s="71"/>
    </row>
    <row r="41" spans="2:14" ht="4.5" customHeight="1">
      <c r="B41" s="132"/>
      <c r="C41" s="57"/>
      <c r="D41" s="132"/>
      <c r="E41" s="150"/>
      <c r="F41" s="151"/>
      <c r="G41" s="150"/>
      <c r="H41" s="150"/>
      <c r="I41" s="150"/>
      <c r="J41" s="150"/>
      <c r="K41" s="152"/>
      <c r="M41" s="153"/>
      <c r="N41" s="33"/>
    </row>
    <row r="42" spans="1:15" ht="17.25" customHeight="1">
      <c r="A42" s="33" t="s">
        <v>199</v>
      </c>
      <c r="B42" s="3" t="s">
        <v>26</v>
      </c>
      <c r="C42" s="141" t="str">
        <f>"4."&amp;+$D$22&amp;"  5."&amp;+$D$4</f>
        <v>4.Gruppe F  5.Gruppe E</v>
      </c>
      <c r="D42" s="142" t="str">
        <f>IF($Y$31="","",(IF(ISERROR(VLOOKUP($A$3&amp;TEXT($A42,"00"),Sonntag!$A$24:$X$205,8,FALSE)),"",VLOOKUP($A$3&amp;TEXT($A42,"00"),Sonntag!$A$24:$X$205,8,FALSE)))&amp;" : "&amp;IF($Y$31="","",IF(ISERROR(VLOOKUP($A$3&amp;TEXT($A42,"00"),Sonntag!$A$24:$X$205,11,FALSE)),"",VLOOKUP($A$3&amp;TEXT($A42,"00"),Sonntag!$A$24:$X$205,11,FALSE))))</f>
        <v>TSV Wuchzenhofen : TV Kierdorf 1962</v>
      </c>
      <c r="E42" s="154"/>
      <c r="F42" s="154"/>
      <c r="G42" s="154"/>
      <c r="H42" s="154"/>
      <c r="I42" s="154"/>
      <c r="J42" s="87"/>
      <c r="K42" s="145">
        <f>IF(ISERROR(VLOOKUP($A$3&amp;TEXT($A42,"00"),Sonntag!$A$24:$X$205,16,FALSE)),"",VLOOKUP($A$3&amp;TEXT($A42,"00"),Sonntag!$A$24:$X$205,16,FALSE))</f>
        <v>39</v>
      </c>
      <c r="L42" s="146" t="s">
        <v>22</v>
      </c>
      <c r="M42" s="147">
        <f>IF(ISERROR(VLOOKUP($A$3&amp;TEXT($A42,"00"),Sonntag!$A$24:$X$205,18,FALSE)),"",VLOOKUP($A$3&amp;TEXT($A42,"00"),Sonntag!$A$24:$X$205,18,FALSE))</f>
        <v>29</v>
      </c>
      <c r="N42" s="148"/>
      <c r="O42" s="149"/>
    </row>
    <row r="43" spans="3:23" ht="18" customHeight="1">
      <c r="C43" s="150" t="s">
        <v>158</v>
      </c>
      <c r="D43" s="150"/>
      <c r="E43" s="150"/>
      <c r="F43" s="151"/>
      <c r="G43" s="150"/>
      <c r="H43" s="150"/>
      <c r="I43" s="150"/>
      <c r="J43" s="150"/>
      <c r="K43" s="152"/>
      <c r="M43" s="153"/>
      <c r="N43" s="33"/>
      <c r="Q43" s="132"/>
      <c r="R43" s="132"/>
      <c r="S43" s="132"/>
      <c r="T43" s="132"/>
      <c r="U43" s="132"/>
      <c r="V43" s="132"/>
      <c r="W43" s="132"/>
    </row>
    <row r="44" spans="1:23" ht="17.25" customHeight="1">
      <c r="A44" s="33" t="s">
        <v>201</v>
      </c>
      <c r="C44" s="174" t="str">
        <f>"V."&amp;B40&amp;"/"&amp;B42&amp;"      9./10. Pl."</f>
        <v>V.a/b      9./10. Pl.</v>
      </c>
      <c r="D44" s="142" t="str">
        <f>IF($K$40=0,"",(IF(ISERROR(VLOOKUP($A$3&amp;TEXT($A44,"00"),Sonntag!$A$24:$X$205,8,FALSE)),"",VLOOKUP($A$3&amp;TEXT($A44,"00"),Sonntag!$A$24:$X$205,8,FALSE)))&amp;" : "&amp;IF(ISERROR(VLOOKUP($A$3&amp;TEXT($A44,"00"),Sonntag!$A$24:$X$205,11,FALSE)),"",VLOOKUP($A$3&amp;TEXT($A44,"00"),Sonntag!$A$24:$X$205,11,FALSE)))</f>
        <v>TV Berkenbaum : TV Kierdorf 1962</v>
      </c>
      <c r="E44" s="154"/>
      <c r="F44" s="154"/>
      <c r="G44" s="154"/>
      <c r="H44" s="154"/>
      <c r="I44" s="154"/>
      <c r="J44" s="87"/>
      <c r="K44" s="145">
        <f>IF(ISERROR(VLOOKUP($A$3&amp;TEXT($A44,"00"),Sonntag!$A$24:$X$205,16,FALSE)),"",VLOOKUP($A$3&amp;TEXT($A44,"00"),Sonntag!$A$24:$X$205,16,FALSE))</f>
        <v>33</v>
      </c>
      <c r="L44" s="146" t="s">
        <v>22</v>
      </c>
      <c r="M44" s="147">
        <f>IF(ISERROR(VLOOKUP($A$3&amp;TEXT($A44,"00"),Sonntag!$A$24:$X$205,18,FALSE)),"",VLOOKUP($A$3&amp;TEXT($A44,"00"),Sonntag!$A$24:$X$205,18,FALSE))</f>
        <v>32</v>
      </c>
      <c r="N44" s="33"/>
      <c r="P44" s="38" t="s">
        <v>27</v>
      </c>
      <c r="Q44" s="155"/>
      <c r="R44" s="155"/>
      <c r="S44" s="155"/>
      <c r="T44" s="155"/>
      <c r="U44" s="155"/>
      <c r="V44" s="155"/>
      <c r="W44" s="155"/>
    </row>
    <row r="45" spans="3:23" ht="4.5" customHeight="1">
      <c r="C45" s="156"/>
      <c r="D45" s="150"/>
      <c r="E45" s="150"/>
      <c r="F45" s="150"/>
      <c r="G45" s="150"/>
      <c r="H45" s="150"/>
      <c r="I45" s="151"/>
      <c r="J45" s="150"/>
      <c r="K45" s="152"/>
      <c r="M45" s="153"/>
      <c r="N45" s="33"/>
      <c r="Q45" s="132"/>
      <c r="R45" s="132"/>
      <c r="S45" s="132"/>
      <c r="T45" s="132"/>
      <c r="U45" s="132"/>
      <c r="V45" s="132"/>
      <c r="W45" s="132"/>
    </row>
    <row r="46" spans="1:23" ht="17.25" customHeight="1">
      <c r="A46" s="33" t="s">
        <v>200</v>
      </c>
      <c r="C46" s="174" t="str">
        <f>"S."&amp;B40&amp;"/"&amp;B42&amp;"      7./8. Pl."</f>
        <v>S.a/b      7./8. Pl.</v>
      </c>
      <c r="D46" s="142" t="str">
        <f>IF($K$40=0,"",(IF(ISERROR(VLOOKUP($A$3&amp;TEXT($A46,"00"),Sonntag!$A$24:$X$205,8,FALSE)),"",VLOOKUP($A$3&amp;TEXT($A46,"00"),Sonntag!$A$24:$X$205,8,FALSE)))&amp;" : "&amp;IF($M$40="","",IF(ISERROR(VLOOKUP($A$3&amp;TEXT($A46,"00"),Sonntag!$A$24:$X$205,11,FALSE)),"",VLOOKUP($A$3&amp;TEXT($A46,"00"),Sonntag!$A$24:$X$205,11,FALSE))))</f>
        <v>SV Diepoldshofen : TSV Wuchzenhofen</v>
      </c>
      <c r="E46" s="143"/>
      <c r="F46" s="144"/>
      <c r="G46" s="143"/>
      <c r="H46" s="143"/>
      <c r="I46" s="143"/>
      <c r="J46" s="136"/>
      <c r="K46" s="145">
        <f>IF(ISERROR(VLOOKUP($A$3&amp;TEXT($A46,"00"),Sonntag!$A$24:$X$205,16,FALSE)),"",VLOOKUP($A$3&amp;TEXT($A46,"00"),Sonntag!$A$24:$X$205,16,FALSE))</f>
        <v>39</v>
      </c>
      <c r="L46" s="146" t="s">
        <v>22</v>
      </c>
      <c r="M46" s="147">
        <f>IF(ISERROR(VLOOKUP($A$3&amp;TEXT($A46,"00"),Sonntag!$A$24:$X$205,18,FALSE)),"",VLOOKUP($A$3&amp;TEXT($A46,"00"),Sonntag!$A$24:$X$205,18,FALSE))</f>
        <v>26</v>
      </c>
      <c r="N46" s="33"/>
      <c r="P46" s="178">
        <v>1</v>
      </c>
      <c r="Q46" s="158" t="str">
        <f>IF(K60=0,""," "&amp;IF(M60&lt;K60,IF(ISERROR(VLOOKUP($A$3&amp;TEXT($A60,"00"),Sonntag!$A$24:$X$205,8,FALSE)),"",VLOOKUP($A$3&amp;TEXT($A60,"00"),Sonntag!$A$24:$X$205,8,FALSE)),IF(M60&gt;K60,IF(ISERROR(VLOOKUP($A$3&amp;TEXT($A60,"00"),Sonntag!$A$24:$X$205,11,FALSE)),"",VLOOKUP($A$3&amp;TEXT($A60,"00"),Sonntag!$A$24:$X$205,11,FALSE)))))</f>
        <v> MTV Eiche Schönebeck</v>
      </c>
      <c r="R46" s="159"/>
      <c r="S46" s="159"/>
      <c r="T46" s="159"/>
      <c r="U46" s="159"/>
      <c r="V46" s="159"/>
      <c r="W46" s="160"/>
    </row>
    <row r="47" spans="3:23" ht="18" customHeight="1">
      <c r="C47" s="150" t="s">
        <v>28</v>
      </c>
      <c r="D47" s="150"/>
      <c r="E47" s="150"/>
      <c r="F47" s="150"/>
      <c r="G47" s="150"/>
      <c r="H47" s="150"/>
      <c r="I47" s="151"/>
      <c r="J47" s="150"/>
      <c r="K47" s="152"/>
      <c r="M47" s="153"/>
      <c r="N47" s="33"/>
      <c r="P47" s="161">
        <v>2</v>
      </c>
      <c r="Q47" s="158" t="str">
        <f>IF(K60=0,""," "&amp;IF(M60&lt;K60,IF(ISERROR(VLOOKUP($A$3&amp;TEXT($A60,"00"),Sonntag!$A$24:$X$205,11,FALSE)),"",VLOOKUP($A$3&amp;TEXT($A60,"00"),Sonntag!$A$24:$X$205,11,FALSE)),IF(M60&gt;K60,IF(ISERROR(VLOOKUP($A$3&amp;TEXT($A60,"00"),Sonntag!$A$24:$X$205,8,FALSE)),"",VLOOKUP($A$3&amp;TEXT($A60,"00"),Sonntag!$A$24:$X$205,8,FALSE)))))</f>
        <v> TuS Concordia Hülsede</v>
      </c>
      <c r="R47" s="71"/>
      <c r="S47" s="71"/>
      <c r="T47" s="71"/>
      <c r="U47" s="71"/>
      <c r="V47" s="71"/>
      <c r="W47" s="162"/>
    </row>
    <row r="48" spans="1:23" ht="17.25" customHeight="1">
      <c r="A48" s="33" t="s">
        <v>202</v>
      </c>
      <c r="B48" s="3" t="s">
        <v>29</v>
      </c>
      <c r="C48" s="141" t="str">
        <f>"2."&amp;+$D$4&amp;"  3."&amp;+$D$22</f>
        <v>2.Gruppe E  3.Gruppe F</v>
      </c>
      <c r="D48" s="142" t="str">
        <f>IF($Y$31="","",(IF(ISERROR(VLOOKUP($A$3&amp;TEXT($A48,"00"),Sonntag!$A$24:$X$205,8,FALSE)),"",VLOOKUP($A$3&amp;TEXT($A48,"00"),Sonntag!$A$24:$X$205,8,FALSE)))&amp;" : "&amp;IF($Y$31="","",IF(ISERROR(VLOOKUP($A$3&amp;TEXT($A48,"00"),Sonntag!$A$24:$X$205,11,FALSE)),"",VLOOKUP($A$3&amp;TEXT($A48,"00"),Sonntag!$A$24:$X$205,11,FALSE))))</f>
        <v>MTV Wohnste : TSV Babenhausen</v>
      </c>
      <c r="E48" s="143"/>
      <c r="F48" s="144"/>
      <c r="G48" s="143"/>
      <c r="H48" s="143"/>
      <c r="I48" s="143"/>
      <c r="J48" s="136"/>
      <c r="K48" s="145">
        <f>IF(ISERROR(VLOOKUP($A$3&amp;TEXT($A48,"00"),Sonntag!$A$24:$X$205,16,FALSE)),"",VLOOKUP($A$3&amp;TEXT($A48,"00"),Sonntag!$A$24:$X$205,16,FALSE))</f>
        <v>32</v>
      </c>
      <c r="L48" s="146" t="s">
        <v>22</v>
      </c>
      <c r="M48" s="147">
        <f>IF(ISERROR(VLOOKUP($A$3&amp;TEXT($A48,"00"),Sonntag!$A$24:$X$205,18,FALSE)),"",VLOOKUP($A$3&amp;TEXT($A48,"00"),Sonntag!$A$24:$X$205,18,FALSE))</f>
        <v>27</v>
      </c>
      <c r="N48" s="33"/>
      <c r="P48" s="161">
        <v>3</v>
      </c>
      <c r="Q48" s="163" t="str">
        <f>IF(K58=0,""," "&amp;IF(M$58&gt;K$58,IF(ISERROR(VLOOKUP($A$3&amp;TEXT($A58,"00"),Sonntag!$A$24:$X$205,11,FALSE)),"",VLOOKUP($A$3&amp;TEXT($A58,"00"),Sonntag!$A$24:$X$205,11,FALSE)),IF(M$58&lt;K$58,IF(ISERROR(VLOOKUP($A$3&amp;TEXT($A58,"00"),Sonntag!$A$24:$X$205,8,FALSE)),"",VLOOKUP($A$3&amp;TEXT($A58,"00"),Sonntag!$A$24:$X$205,8,FALSE)))))</f>
        <v> TV Sottrum</v>
      </c>
      <c r="R48" s="71"/>
      <c r="S48" s="71"/>
      <c r="T48" s="71"/>
      <c r="U48" s="71"/>
      <c r="V48" s="71"/>
      <c r="W48" s="162"/>
    </row>
    <row r="49" spans="3:23" ht="4.5" customHeight="1">
      <c r="C49" s="150"/>
      <c r="D49" s="150"/>
      <c r="E49" s="150"/>
      <c r="F49" s="150"/>
      <c r="G49" s="150"/>
      <c r="H49" s="150"/>
      <c r="I49" s="150"/>
      <c r="J49" s="150"/>
      <c r="K49" s="152"/>
      <c r="M49" s="153"/>
      <c r="N49" s="33"/>
      <c r="P49" s="161"/>
      <c r="Q49" s="71"/>
      <c r="R49" s="71"/>
      <c r="S49" s="71"/>
      <c r="T49" s="71"/>
      <c r="U49" s="71"/>
      <c r="V49" s="71"/>
      <c r="W49" s="162"/>
    </row>
    <row r="50" spans="1:23" ht="17.25" customHeight="1">
      <c r="A50" s="33" t="s">
        <v>203</v>
      </c>
      <c r="B50" s="3" t="s">
        <v>30</v>
      </c>
      <c r="C50" s="141" t="str">
        <f>"2."&amp;+$D$22&amp;"  3."&amp;+$D$4</f>
        <v>2.Gruppe F  3.Gruppe E</v>
      </c>
      <c r="D50" s="142" t="str">
        <f>IF($Y$31="","",(IF(ISERROR(VLOOKUP($A$3&amp;TEXT($A50,"00"),Sonntag!$A$24:$X$205,8,FALSE)),"",VLOOKUP($A$3&amp;TEXT($A50,"00"),Sonntag!$A$24:$X$205,8,FALSE)))&amp;" : "&amp;IF($Y$31="","",IF(ISERROR(VLOOKUP($A$3&amp;TEXT($A50,"00"),Sonntag!$A$24:$X$205,11,FALSE)),"",VLOOKUP($A$3&amp;TEXT($A50,"00"),Sonntag!$A$24:$X$205,11,FALSE))))</f>
        <v>TV Sottrum : TV Winterhagen</v>
      </c>
      <c r="E50" s="143"/>
      <c r="F50" s="143"/>
      <c r="G50" s="143"/>
      <c r="H50" s="143"/>
      <c r="I50" s="144"/>
      <c r="J50" s="136"/>
      <c r="K50" s="145">
        <f>IF(ISERROR(VLOOKUP($A$3&amp;TEXT($A50,"00"),Sonntag!$A$24:$X$205,16,FALSE)),"",VLOOKUP($A$3&amp;TEXT($A50,"00"),Sonntag!$A$24:$X$205,16,FALSE))</f>
        <v>36</v>
      </c>
      <c r="L50" s="146" t="s">
        <v>22</v>
      </c>
      <c r="M50" s="147">
        <f>IF(ISERROR(VLOOKUP($A$3&amp;TEXT($A50,"00"),Sonntag!$A$24:$X$205,18,FALSE)),"",VLOOKUP($A$3&amp;TEXT($A50,"00"),Sonntag!$A$24:$X$205,18,FALSE))</f>
        <v>27</v>
      </c>
      <c r="N50" s="33"/>
      <c r="P50" s="161">
        <v>4</v>
      </c>
      <c r="Q50" s="163" t="str">
        <f>IF(K58=0,""," "&amp;IF(M$58&lt;K$58,IF(ISERROR(VLOOKUP($A$3&amp;TEXT($A58,"00"),Sonntag!$A$24:$X$205,11,FALSE)),"",VLOOKUP($A$3&amp;TEXT($A58,"00"),Sonntag!$A$24:$X$205,11,FALSE)),IF(M$58&gt;K$58,IF(ISERROR(VLOOKUP($A$3&amp;TEXT($A58,"00"),Sonntag!$A$24:$X$205,8,FALSE)),"",VLOOKUP($A$3&amp;TEXT($A58,"00"),Sonntag!$A$24:$X$205,8,FALSE)))))</f>
        <v> MTV Wohnste</v>
      </c>
      <c r="R50" s="71"/>
      <c r="S50" s="71"/>
      <c r="T50" s="71"/>
      <c r="U50" s="71"/>
      <c r="V50" s="71"/>
      <c r="W50" s="162"/>
    </row>
    <row r="51" spans="3:23" ht="18" customHeight="1">
      <c r="C51" s="150" t="s">
        <v>31</v>
      </c>
      <c r="D51" s="150"/>
      <c r="E51" s="150"/>
      <c r="F51" s="150"/>
      <c r="G51" s="150"/>
      <c r="H51" s="150"/>
      <c r="I51" s="150"/>
      <c r="J51" s="150"/>
      <c r="K51" s="152"/>
      <c r="M51" s="153"/>
      <c r="N51" s="33"/>
      <c r="P51" s="161">
        <v>5</v>
      </c>
      <c r="Q51" s="163" t="str">
        <f>IF(K56=0,""," "&amp;IF(M$56&gt;K$56,IF(ISERROR(VLOOKUP($A$3&amp;TEXT($A56,"00"),Sonntag!$A$24:$X$205,11,FALSE)),"",VLOOKUP($A$3&amp;TEXT($A56,"00"),Sonntag!$A$24:$X$205,11,FALSE)),IF(M$56&lt;K$56,IF(ISERROR(VLOOKUP($A$3&amp;TEXT($A56,"00"),Sonntag!$A$24:$X$205,8,FALSE)),"",VLOOKUP($A$3&amp;TEXT($A56,"00"),Sonntag!$A$24:$X$205,8,FALSE)))))</f>
        <v> TV Winterhagen</v>
      </c>
      <c r="R51" s="71"/>
      <c r="S51" s="71"/>
      <c r="T51" s="71"/>
      <c r="U51" s="71"/>
      <c r="V51" s="71"/>
      <c r="W51" s="162"/>
    </row>
    <row r="52" spans="1:23" ht="17.25" customHeight="1">
      <c r="A52" s="33" t="s">
        <v>204</v>
      </c>
      <c r="B52" s="3" t="s">
        <v>32</v>
      </c>
      <c r="C52" s="141" t="str">
        <f>"1."&amp;+$D$4&amp;"  Sieger "&amp;+$B$50</f>
        <v>1.Gruppe E  Sieger d</v>
      </c>
      <c r="D52" s="142" t="str">
        <f>IF($Y$31="","",(IF(ISERROR(VLOOKUP($A$3&amp;TEXT($A52,"00"),Sonntag!$A$24:$X$205,8,FALSE)),"",VLOOKUP($A$3&amp;TEXT($A52,"00"),Sonntag!$A$24:$X$205,8,FALSE)))&amp;" : "&amp;IF($K$50="","",IF(ISERROR(VLOOKUP($A$3&amp;TEXT($A52,"00"),Sonntag!$A$24:$X$205,11,FALSE)),"",VLOOKUP($A$3&amp;TEXT($A52,"00"),Sonntag!$A$24:$X$205,11,FALSE))))</f>
        <v>MTV Eiche Schönebeck : TV Sottrum</v>
      </c>
      <c r="E52" s="143"/>
      <c r="F52" s="143"/>
      <c r="G52" s="143"/>
      <c r="H52" s="143"/>
      <c r="I52" s="144"/>
      <c r="J52" s="136"/>
      <c r="K52" s="145">
        <f>IF(ISERROR(VLOOKUP($A$3&amp;TEXT($A52,"00"),Sonntag!$A$24:$X$205,16,FALSE)),"",VLOOKUP($A$3&amp;TEXT($A52,"00"),Sonntag!$A$24:$X$205,16,FALSE))</f>
        <v>35</v>
      </c>
      <c r="L52" s="146" t="s">
        <v>22</v>
      </c>
      <c r="M52" s="147">
        <f>IF(ISERROR(VLOOKUP($A$3&amp;TEXT($A52,"00"),Sonntag!$A$24:$X$205,18,FALSE)),"",VLOOKUP($A$3&amp;TEXT($A52,"00"),Sonntag!$A$24:$X$205,18,FALSE))</f>
        <v>32</v>
      </c>
      <c r="N52" s="33"/>
      <c r="P52" s="161">
        <v>6</v>
      </c>
      <c r="Q52" s="163" t="str">
        <f>IF(K56=0,""," "&amp;IF(M$56&lt;K$56,IF(ISERROR(VLOOKUP($A$3&amp;TEXT($A56,"00"),Sonntag!$A$24:$X$205,11,FALSE)),"",VLOOKUP($A$3&amp;TEXT($A56,"00"),Sonntag!$A$24:$X$205,11,FALSE)),IF(M$56&gt;K$56,IF(ISERROR(VLOOKUP($A$3&amp;TEXT($A56,"00"),Sonntag!$A$24:$X$205,8,FALSE)),"",VLOOKUP($A$3&amp;TEXT($A56,"00"),Sonntag!$A$24:$X$205,8,FALSE)))))</f>
        <v> TSV Babenhausen</v>
      </c>
      <c r="R52" s="71"/>
      <c r="S52" s="71"/>
      <c r="T52" s="71"/>
      <c r="U52" s="71"/>
      <c r="V52" s="71"/>
      <c r="W52" s="162"/>
    </row>
    <row r="53" spans="3:23" ht="4.5" customHeight="1">
      <c r="C53" s="151"/>
      <c r="D53" s="150"/>
      <c r="E53" s="150"/>
      <c r="F53" s="151"/>
      <c r="G53" s="150"/>
      <c r="H53" s="150"/>
      <c r="I53" s="150"/>
      <c r="J53" s="150"/>
      <c r="K53" s="152"/>
      <c r="M53" s="153"/>
      <c r="N53" s="33"/>
      <c r="P53" s="161"/>
      <c r="Q53" s="71"/>
      <c r="R53" s="71"/>
      <c r="S53" s="71"/>
      <c r="T53" s="71"/>
      <c r="U53" s="71"/>
      <c r="V53" s="71"/>
      <c r="W53" s="162"/>
    </row>
    <row r="54" spans="1:23" ht="17.25" customHeight="1">
      <c r="A54" s="33" t="s">
        <v>205</v>
      </c>
      <c r="B54" s="3" t="s">
        <v>33</v>
      </c>
      <c r="C54" s="141" t="str">
        <f>"1."&amp;+$D$22&amp;"  Sieger "&amp;+$B$48</f>
        <v>1.Gruppe F  Sieger c</v>
      </c>
      <c r="D54" s="142" t="str">
        <f>IF($Y$31="","",(IF(ISERROR(VLOOKUP($A$3&amp;TEXT($A54,"00"),Sonntag!$A$24:$X$205,8,FALSE)),"",VLOOKUP($A$3&amp;TEXT($A54,"00"),Sonntag!$A$24:$X$205,8,FALSE)))&amp;" : "&amp;IF($K$48="","",IF(ISERROR(VLOOKUP($A$3&amp;TEXT($A54,"00"),Sonntag!$A$24:$X$205,11,FALSE)),"",VLOOKUP($A$3&amp;TEXT($A54,"00"),Sonntag!$A$24:$X$205,11,FALSE))))</f>
        <v>TuS Concordia Hülsede : MTV Wohnste</v>
      </c>
      <c r="E54" s="143"/>
      <c r="F54" s="143"/>
      <c r="G54" s="143"/>
      <c r="H54" s="143"/>
      <c r="I54" s="143"/>
      <c r="J54" s="136"/>
      <c r="K54" s="145">
        <f>IF(ISERROR(VLOOKUP($A$3&amp;TEXT($A54,"00"),Sonntag!$A$24:$X$205,16,FALSE)),"",VLOOKUP($A$3&amp;TEXT($A54,"00"),Sonntag!$A$24:$X$205,16,FALSE))</f>
        <v>39</v>
      </c>
      <c r="L54" s="146" t="s">
        <v>22</v>
      </c>
      <c r="M54" s="147">
        <f>IF(ISERROR(VLOOKUP($A$3&amp;TEXT($A54,"00"),Sonntag!$A$24:$X$205,18,FALSE)),"",VLOOKUP($A$3&amp;TEXT($A54,"00"),Sonntag!$A$24:$X$205,18,FALSE))</f>
        <v>24</v>
      </c>
      <c r="N54" s="33"/>
      <c r="P54" s="161">
        <v>7</v>
      </c>
      <c r="Q54" s="163" t="str">
        <f>IF(K42=0,""," "&amp;IF(M$46&gt;K$46,IF(ISERROR(VLOOKUP($A$3&amp;TEXT($A46,"00"),Sonntag!$A$24:$X$205,11,FALSE)),"",VLOOKUP($A$3&amp;TEXT($A46,"00"),Sonntag!$A$24:$X$205,11,FALSE)),IF(M$46&lt;K$46,IF(ISERROR(VLOOKUP($A$3&amp;TEXT($A46,"00"),Sonntag!$A$24:$X$205,8,FALSE)),"",VLOOKUP($A$3&amp;TEXT($A46,"00"),Sonntag!$A$24:$X$205,8,FALSE)))))</f>
        <v> SV Diepoldshofen</v>
      </c>
      <c r="R54" s="71"/>
      <c r="S54" s="71"/>
      <c r="T54" s="71"/>
      <c r="U54" s="71"/>
      <c r="V54" s="71"/>
      <c r="W54" s="162"/>
    </row>
    <row r="55" spans="3:23" ht="18" customHeight="1">
      <c r="C55" s="164" t="s">
        <v>159</v>
      </c>
      <c r="D55" s="150"/>
      <c r="E55" s="150"/>
      <c r="F55" s="151"/>
      <c r="G55" s="150"/>
      <c r="H55" s="150"/>
      <c r="I55" s="150"/>
      <c r="J55" s="150"/>
      <c r="K55" s="152"/>
      <c r="M55" s="153"/>
      <c r="N55" s="33"/>
      <c r="P55" s="161">
        <v>8</v>
      </c>
      <c r="Q55" s="163" t="str">
        <f>IF(K42=0,""," "&amp;IF(M$46&lt;K$46,IF(ISERROR(VLOOKUP($A$3&amp;TEXT($A46,"00"),Sonntag!$A$24:$X$205,11,FALSE)),"",VLOOKUP($A$3&amp;TEXT($A46,"00"),Sonntag!$A$24:$X$205,11,FALSE)),IF(M$46&gt;K$46,IF(ISERROR(VLOOKUP($A$3&amp;TEXT($A46,"00"),Sonntag!$A$24:$X$205,8,FALSE)),"",VLOOKUP($A$3&amp;TEXT($A46,"00"),Sonntag!$A$24:$X$205,8,FALSE)))))</f>
        <v> TSV Wuchzenhofen</v>
      </c>
      <c r="R55" s="71"/>
      <c r="S55" s="71"/>
      <c r="T55" s="71"/>
      <c r="U55" s="71"/>
      <c r="V55" s="71"/>
      <c r="W55" s="162"/>
    </row>
    <row r="56" spans="1:23" ht="17.25" customHeight="1">
      <c r="A56" s="33" t="s">
        <v>216</v>
      </c>
      <c r="C56" s="174" t="str">
        <f>"V."&amp;B48&amp;"/"&amp;B50&amp;"         5./6. Pl."</f>
        <v>V.c/d         5./6. Pl.</v>
      </c>
      <c r="D56" s="142" t="str">
        <f>IF($K$52=0,"",(IF(ISERROR(VLOOKUP($A$3&amp;TEXT($A56,"00"),Sonntag!$A$24:$X$205,8,FALSE)),"",VLOOKUP($A$3&amp;TEXT($A56,"00"),Sonntag!$A$24:$X$205,8,FALSE)))&amp;" : "&amp;IF(ISERROR(VLOOKUP($A$3&amp;TEXT($A56,"00"),Sonntag!$A$24:$X$205,11,FALSE)),"",VLOOKUP($A$3&amp;TEXT($A56,"00"),Sonntag!$A$24:$X$205,11,FALSE)))</f>
        <v>TSV Babenhausen : TV Winterhagen</v>
      </c>
      <c r="E56" s="143"/>
      <c r="F56" s="143"/>
      <c r="G56" s="143"/>
      <c r="H56" s="143"/>
      <c r="I56" s="143"/>
      <c r="J56" s="136"/>
      <c r="K56" s="145">
        <f>IF(ISERROR(VLOOKUP($A$3&amp;TEXT($A56,"00"),Sonntag!$A$24:$X$205,16,FALSE)),"",VLOOKUP($A$3&amp;TEXT($A56,"00"),Sonntag!$A$24:$X$205,16,FALSE))</f>
        <v>29</v>
      </c>
      <c r="L56" s="146" t="s">
        <v>22</v>
      </c>
      <c r="M56" s="147">
        <f>IF(ISERROR(VLOOKUP($A$3&amp;TEXT($A56,"00"),Sonntag!$A$24:$X$205,18,FALSE)),"",VLOOKUP($A$3&amp;TEXT($A56,"00"),Sonntag!$A$24:$X$205,18,FALSE))</f>
        <v>34</v>
      </c>
      <c r="N56" s="33"/>
      <c r="P56" s="161">
        <v>9</v>
      </c>
      <c r="Q56" s="163" t="str">
        <f>IF(K42=0,""," "&amp;IF(M$44&gt;K$44,IF(ISERROR(VLOOKUP($A$3&amp;TEXT($A44,"00"),Sonntag!$A$24:$X$205,11,FALSE)),"",VLOOKUP($A$3&amp;TEXT($A44,"00"),Sonntag!$A$24:$X$205,11,FALSE)),IF(M$44&lt;K$44,IF(ISERROR(VLOOKUP($A$3&amp;TEXT($A44,"00"),Sonntag!$A$24:$X$205,8,FALSE)),"",VLOOKUP($A$3&amp;TEXT($A44,"00"),Sonntag!$A$24:$X$205,8,FALSE)))))</f>
        <v> TV Berkenbaum</v>
      </c>
      <c r="R56" s="71"/>
      <c r="S56" s="71"/>
      <c r="T56" s="71"/>
      <c r="U56" s="71"/>
      <c r="V56" s="71"/>
      <c r="W56" s="162"/>
    </row>
    <row r="57" spans="3:23" ht="4.5" customHeight="1">
      <c r="C57" s="150"/>
      <c r="D57" s="150"/>
      <c r="E57" s="150"/>
      <c r="F57" s="150"/>
      <c r="G57" s="150"/>
      <c r="H57" s="150"/>
      <c r="I57" s="151"/>
      <c r="J57" s="150"/>
      <c r="K57" s="152"/>
      <c r="M57" s="153"/>
      <c r="N57" s="33"/>
      <c r="P57" s="161"/>
      <c r="Q57" s="71"/>
      <c r="R57" s="71"/>
      <c r="S57" s="71"/>
      <c r="T57" s="71"/>
      <c r="U57" s="71"/>
      <c r="V57" s="71"/>
      <c r="W57" s="162"/>
    </row>
    <row r="58" spans="1:23" ht="17.25" customHeight="1">
      <c r="A58" s="33" t="s">
        <v>206</v>
      </c>
      <c r="C58" s="174" t="str">
        <f>"V."&amp;B52&amp;"/"&amp;B54&amp;"         3./4. Pl."</f>
        <v>V.e/f         3./4. Pl.</v>
      </c>
      <c r="D58" s="142" t="str">
        <f>IF($K$52=0,"",(IF(ISERROR(VLOOKUP($A$3&amp;TEXT($A58,"00"),Sonntag!$A$24:$X$205,8,FALSE)),"",VLOOKUP($A$3&amp;TEXT($A58,"00"),Sonntag!$A$24:$X$205,8,FALSE)))&amp;" : "&amp;IF(ISERROR(VLOOKUP($A$3&amp;TEXT($A58,"00"),Sonntag!$A$24:$X$205,11,FALSE)),"",VLOOKUP($A$3&amp;TEXT($A58,"00"),Sonntag!$A$24:$X$205,11,FALSE)))</f>
        <v>MTV Wohnste : TV Sottrum</v>
      </c>
      <c r="E58" s="143"/>
      <c r="F58" s="144"/>
      <c r="G58" s="143"/>
      <c r="H58" s="143"/>
      <c r="I58" s="143"/>
      <c r="J58" s="136"/>
      <c r="K58" s="145">
        <f>IF(ISERROR(VLOOKUP($A$3&amp;TEXT($A58,"00"),Sonntag!$A$24:$X$205,16,FALSE)),"",VLOOKUP($A$3&amp;TEXT($A58,"00"),Sonntag!$A$24:$X$205,16,FALSE))</f>
        <v>25</v>
      </c>
      <c r="L58" s="146" t="s">
        <v>22</v>
      </c>
      <c r="M58" s="147">
        <f>IF(ISERROR(VLOOKUP($A$3&amp;TEXT($A58,"00"),Sonntag!$A$24:$X$205,18,FALSE)),"",VLOOKUP($A$3&amp;TEXT($A58,"00"),Sonntag!$A$24:$X$205,18,FALSE))</f>
        <v>30</v>
      </c>
      <c r="N58" s="33"/>
      <c r="P58" s="165">
        <v>10</v>
      </c>
      <c r="Q58" s="166" t="str">
        <f>IF(K42=0,""," "&amp;IF(M$44&lt;K$44,IF(ISERROR(VLOOKUP($A$3&amp;TEXT($A44,"00"),Sonntag!$A$24:$X$205,11,FALSE)),"",VLOOKUP($A$3&amp;TEXT($A44,"00"),Sonntag!$A$24:$X$205,11,FALSE)),IF(M$44&gt;K$44,IF(ISERROR(VLOOKUP($A$3&amp;TEXT($A44,"00"),Sonntag!$A$24:$X$205,8,FALSE)),"",VLOOKUP($A$3&amp;TEXT($A44,"00"),Sonntag!$A$24:$X$205,8,FALSE)))))</f>
        <v> TV Kierdorf 1962</v>
      </c>
      <c r="R58" s="167"/>
      <c r="S58" s="167"/>
      <c r="T58" s="167"/>
      <c r="U58" s="167"/>
      <c r="V58" s="167"/>
      <c r="W58" s="168"/>
    </row>
    <row r="59" spans="3:14" ht="18" customHeight="1">
      <c r="C59" s="104" t="s">
        <v>34</v>
      </c>
      <c r="D59" s="132"/>
      <c r="E59" s="150"/>
      <c r="F59" s="150"/>
      <c r="G59" s="150"/>
      <c r="H59" s="132"/>
      <c r="I59" s="169"/>
      <c r="J59" s="132"/>
      <c r="K59" s="152"/>
      <c r="M59" s="153"/>
      <c r="N59" s="33"/>
    </row>
    <row r="60" spans="1:14" ht="17.25" customHeight="1">
      <c r="A60" s="33" t="s">
        <v>207</v>
      </c>
      <c r="C60" s="174" t="str">
        <f>"S."&amp;B52&amp;"/"&amp;B54&amp;"         1./2. Pl."</f>
        <v>S.e/f         1./2. Pl.</v>
      </c>
      <c r="D60" s="142" t="str">
        <f>IF($K$52=0,"",(IF(ISERROR(VLOOKUP($A$3&amp;TEXT($A60,"00"),Sonntag!$A$24:$X$205,8,FALSE)),"",VLOOKUP($A$3&amp;TEXT($A60,"00"),Sonntag!$A$24:$X$205,8,FALSE)))&amp;" : "&amp;IF(ISERROR(VLOOKUP($A$3&amp;TEXT($A60,"00"),Sonntag!$A$24:$X$205,11,FALSE)),"",VLOOKUP($A$3&amp;TEXT($A60,"00"),Sonntag!$A$24:$X$205,11,FALSE)))</f>
        <v>TuS Concordia Hülsede : MTV Eiche Schönebeck</v>
      </c>
      <c r="E60" s="154"/>
      <c r="F60" s="170"/>
      <c r="G60" s="154"/>
      <c r="H60" s="143"/>
      <c r="I60" s="143"/>
      <c r="J60" s="136"/>
      <c r="K60" s="145">
        <f>IF(ISERROR(VLOOKUP($A$3&amp;TEXT($A60,"00"),Sonntag!$A$24:$X$205,16,FALSE)),"",VLOOKUP($A$3&amp;TEXT($A60,"00"),Sonntag!$A$24:$X$205,16,FALSE))</f>
        <v>28</v>
      </c>
      <c r="L60" s="146" t="s">
        <v>22</v>
      </c>
      <c r="M60" s="147">
        <f>IF(ISERROR(VLOOKUP($A$3&amp;TEXT($A60,"00"),Sonntag!$A$24:$X$205,18,FALSE)),"",VLOOKUP($A$3&amp;TEXT($A60,"00"),Sonntag!$A$24:$X$205,18,FALSE))</f>
        <v>36</v>
      </c>
      <c r="N60" s="33"/>
    </row>
  </sheetData>
  <sheetProtection/>
  <conditionalFormatting sqref="Q47">
    <cfRule type="cellIs" priority="131" dxfId="0" operator="lessThan" stopIfTrue="1">
      <formula>1</formula>
    </cfRule>
  </conditionalFormatting>
  <conditionalFormatting sqref="Q46">
    <cfRule type="cellIs" priority="129" dxfId="0" operator="lessThan" stopIfTrue="1">
      <formula>1</formula>
    </cfRule>
  </conditionalFormatting>
  <conditionalFormatting sqref="Q48">
    <cfRule type="cellIs" priority="127" dxfId="0" operator="lessThan" stopIfTrue="1">
      <formula>1</formula>
    </cfRule>
  </conditionalFormatting>
  <conditionalFormatting sqref="Q50">
    <cfRule type="cellIs" priority="125" dxfId="0" operator="lessThan" stopIfTrue="1">
      <formula>1</formula>
    </cfRule>
  </conditionalFormatting>
  <conditionalFormatting sqref="Q52">
    <cfRule type="cellIs" priority="123" dxfId="0" operator="lessThan" stopIfTrue="1">
      <formula>1</formula>
    </cfRule>
  </conditionalFormatting>
  <conditionalFormatting sqref="Q51">
    <cfRule type="cellIs" priority="121" dxfId="0" operator="lessThan" stopIfTrue="1">
      <formula>1</formula>
    </cfRule>
  </conditionalFormatting>
  <conditionalFormatting sqref="Q55">
    <cfRule type="cellIs" priority="119" dxfId="0" operator="lessThan" stopIfTrue="1">
      <formula>1</formula>
    </cfRule>
  </conditionalFormatting>
  <conditionalFormatting sqref="Q54">
    <cfRule type="cellIs" priority="117" dxfId="0" operator="lessThan" stopIfTrue="1">
      <formula>1</formula>
    </cfRule>
  </conditionalFormatting>
  <conditionalFormatting sqref="Q56">
    <cfRule type="cellIs" priority="115" dxfId="0" operator="lessThan" stopIfTrue="1">
      <formula>1</formula>
    </cfRule>
  </conditionalFormatting>
  <conditionalFormatting sqref="Q58">
    <cfRule type="cellIs" priority="113" dxfId="0" operator="lessThan" stopIfTrue="1">
      <formula>1</formula>
    </cfRule>
  </conditionalFormatting>
  <conditionalFormatting sqref="K40">
    <cfRule type="cellIs" priority="112" dxfId="0" operator="lessThan" stopIfTrue="1">
      <formula>1</formula>
    </cfRule>
  </conditionalFormatting>
  <conditionalFormatting sqref="M40">
    <cfRule type="cellIs" priority="110" dxfId="0" operator="lessThan" stopIfTrue="1">
      <formula>1</formula>
    </cfRule>
  </conditionalFormatting>
  <conditionalFormatting sqref="K42">
    <cfRule type="cellIs" priority="108" dxfId="0" operator="lessThan" stopIfTrue="1">
      <formula>1</formula>
    </cfRule>
  </conditionalFormatting>
  <conditionalFormatting sqref="M42">
    <cfRule type="cellIs" priority="106" dxfId="0" operator="lessThan" stopIfTrue="1">
      <formula>1</formula>
    </cfRule>
  </conditionalFormatting>
  <conditionalFormatting sqref="K44">
    <cfRule type="cellIs" priority="104" dxfId="0" operator="lessThan" stopIfTrue="1">
      <formula>1</formula>
    </cfRule>
  </conditionalFormatting>
  <conditionalFormatting sqref="M44">
    <cfRule type="cellIs" priority="102" dxfId="0" operator="lessThan" stopIfTrue="1">
      <formula>1</formula>
    </cfRule>
  </conditionalFormatting>
  <conditionalFormatting sqref="K46">
    <cfRule type="cellIs" priority="100" dxfId="0" operator="lessThan" stopIfTrue="1">
      <formula>1</formula>
    </cfRule>
  </conditionalFormatting>
  <conditionalFormatting sqref="M46">
    <cfRule type="cellIs" priority="97" dxfId="0" operator="lessThan" stopIfTrue="1">
      <formula>1</formula>
    </cfRule>
  </conditionalFormatting>
  <conditionalFormatting sqref="K44">
    <cfRule type="cellIs" priority="96" dxfId="0" operator="lessThan" stopIfTrue="1">
      <formula>1</formula>
    </cfRule>
  </conditionalFormatting>
  <conditionalFormatting sqref="K48">
    <cfRule type="cellIs" priority="92" dxfId="0" operator="lessThan" stopIfTrue="1">
      <formula>1</formula>
    </cfRule>
  </conditionalFormatting>
  <conditionalFormatting sqref="M48">
    <cfRule type="cellIs" priority="89" dxfId="0" operator="lessThan" stopIfTrue="1">
      <formula>1</formula>
    </cfRule>
  </conditionalFormatting>
  <conditionalFormatting sqref="K50">
    <cfRule type="cellIs" priority="88" dxfId="0" operator="lessThan" stopIfTrue="1">
      <formula>1</formula>
    </cfRule>
  </conditionalFormatting>
  <conditionalFormatting sqref="M50">
    <cfRule type="cellIs" priority="85" dxfId="0" operator="lessThan" stopIfTrue="1">
      <formula>1</formula>
    </cfRule>
  </conditionalFormatting>
  <conditionalFormatting sqref="K52">
    <cfRule type="cellIs" priority="84" dxfId="0" operator="lessThan" stopIfTrue="1">
      <formula>1</formula>
    </cfRule>
  </conditionalFormatting>
  <conditionalFormatting sqref="M52">
    <cfRule type="cellIs" priority="81" dxfId="0" operator="lessThan" stopIfTrue="1">
      <formula>1</formula>
    </cfRule>
  </conditionalFormatting>
  <conditionalFormatting sqref="K54">
    <cfRule type="cellIs" priority="80" dxfId="0" operator="lessThan" stopIfTrue="1">
      <formula>1</formula>
    </cfRule>
  </conditionalFormatting>
  <conditionalFormatting sqref="M54">
    <cfRule type="cellIs" priority="77" dxfId="0" operator="lessThan" stopIfTrue="1">
      <formula>1</formula>
    </cfRule>
  </conditionalFormatting>
  <conditionalFormatting sqref="K56">
    <cfRule type="cellIs" priority="76" dxfId="0" operator="lessThan" stopIfTrue="1">
      <formula>1</formula>
    </cfRule>
  </conditionalFormatting>
  <conditionalFormatting sqref="M56">
    <cfRule type="cellIs" priority="73" dxfId="0" operator="lessThan" stopIfTrue="1">
      <formula>1</formula>
    </cfRule>
  </conditionalFormatting>
  <conditionalFormatting sqref="K58">
    <cfRule type="cellIs" priority="72" dxfId="0" operator="lessThan" stopIfTrue="1">
      <formula>1</formula>
    </cfRule>
  </conditionalFormatting>
  <conditionalFormatting sqref="M58">
    <cfRule type="cellIs" priority="70" dxfId="0" operator="lessThan" stopIfTrue="1">
      <formula>1</formula>
    </cfRule>
  </conditionalFormatting>
  <conditionalFormatting sqref="K60">
    <cfRule type="cellIs" priority="67" dxfId="0" operator="lessThan" stopIfTrue="1">
      <formula>1</formula>
    </cfRule>
  </conditionalFormatting>
  <conditionalFormatting sqref="M60">
    <cfRule type="cellIs" priority="66" dxfId="0" operator="lessThan" stopIfTrue="1">
      <formula>1</formula>
    </cfRule>
  </conditionalFormatting>
  <conditionalFormatting sqref="H5">
    <cfRule type="cellIs" priority="64" dxfId="0" operator="lessThan" stopIfTrue="1">
      <formula>1</formula>
    </cfRule>
  </conditionalFormatting>
  <conditionalFormatting sqref="J5">
    <cfRule type="cellIs" priority="63" dxfId="0" operator="lessThan" stopIfTrue="1">
      <formula>1</formula>
    </cfRule>
  </conditionalFormatting>
  <conditionalFormatting sqref="M5">
    <cfRule type="cellIs" priority="59" dxfId="0" operator="lessThan" stopIfTrue="1">
      <formula>1</formula>
    </cfRule>
  </conditionalFormatting>
  <conditionalFormatting sqref="K5">
    <cfRule type="cellIs" priority="58" dxfId="0" operator="lessThan" stopIfTrue="1">
      <formula>1</formula>
    </cfRule>
  </conditionalFormatting>
  <conditionalFormatting sqref="K7">
    <cfRule type="cellIs" priority="56" dxfId="0" operator="lessThan" stopIfTrue="1">
      <formula>1</formula>
    </cfRule>
  </conditionalFormatting>
  <conditionalFormatting sqref="M7">
    <cfRule type="cellIs" priority="53" dxfId="0" operator="lessThan" stopIfTrue="1">
      <formula>1</formula>
    </cfRule>
  </conditionalFormatting>
  <conditionalFormatting sqref="N7">
    <cfRule type="cellIs" priority="52" dxfId="0" operator="lessThan" stopIfTrue="1">
      <formula>1</formula>
    </cfRule>
  </conditionalFormatting>
  <conditionalFormatting sqref="P7">
    <cfRule type="cellIs" priority="51" dxfId="0" operator="lessThan" stopIfTrue="1">
      <formula>1</formula>
    </cfRule>
  </conditionalFormatting>
  <conditionalFormatting sqref="P5">
    <cfRule type="cellIs" priority="45" dxfId="0" operator="lessThan" stopIfTrue="1">
      <formula>1</formula>
    </cfRule>
  </conditionalFormatting>
  <conditionalFormatting sqref="Q5">
    <cfRule type="cellIs" priority="44" dxfId="0" operator="lessThan" stopIfTrue="1">
      <formula>1</formula>
    </cfRule>
  </conditionalFormatting>
  <conditionalFormatting sqref="S5">
    <cfRule type="cellIs" priority="41" dxfId="0" operator="lessThan" stopIfTrue="1">
      <formula>1</formula>
    </cfRule>
  </conditionalFormatting>
  <conditionalFormatting sqref="Q7">
    <cfRule type="cellIs" priority="40" dxfId="0" operator="lessThan" stopIfTrue="1">
      <formula>1</formula>
    </cfRule>
  </conditionalFormatting>
  <conditionalFormatting sqref="S7">
    <cfRule type="cellIs" priority="37" dxfId="0" operator="lessThan" stopIfTrue="1">
      <formula>1</formula>
    </cfRule>
  </conditionalFormatting>
  <conditionalFormatting sqref="Q9">
    <cfRule type="cellIs" priority="36" dxfId="0" operator="lessThan" stopIfTrue="1">
      <formula>1</formula>
    </cfRule>
  </conditionalFormatting>
  <conditionalFormatting sqref="S9">
    <cfRule type="cellIs" priority="33" dxfId="0" operator="lessThan" stopIfTrue="1">
      <formula>1</formula>
    </cfRule>
  </conditionalFormatting>
  <conditionalFormatting sqref="Q11">
    <cfRule type="cellIs" priority="32" dxfId="0" operator="lessThan" stopIfTrue="1">
      <formula>1</formula>
    </cfRule>
  </conditionalFormatting>
  <conditionalFormatting sqref="S11">
    <cfRule type="cellIs" priority="29" dxfId="0" operator="lessThan" stopIfTrue="1">
      <formula>1</formula>
    </cfRule>
  </conditionalFormatting>
  <conditionalFormatting sqref="Q23">
    <cfRule type="cellIs" priority="26" dxfId="0" operator="lessThan" stopIfTrue="1">
      <formula>1</formula>
    </cfRule>
  </conditionalFormatting>
  <conditionalFormatting sqref="H23">
    <cfRule type="cellIs" priority="24" dxfId="0" operator="lessThan" stopIfTrue="1">
      <formula>1</formula>
    </cfRule>
  </conditionalFormatting>
  <conditionalFormatting sqref="J23">
    <cfRule type="cellIs" priority="23" dxfId="0" operator="lessThan" stopIfTrue="1">
      <formula>1</formula>
    </cfRule>
  </conditionalFormatting>
  <conditionalFormatting sqref="K23">
    <cfRule type="cellIs" priority="22" dxfId="0" operator="lessThan" stopIfTrue="1">
      <formula>1</formula>
    </cfRule>
  </conditionalFormatting>
  <conditionalFormatting sqref="M23">
    <cfRule type="cellIs" priority="21" dxfId="0" operator="lessThan" stopIfTrue="1">
      <formula>1</formula>
    </cfRule>
  </conditionalFormatting>
  <conditionalFormatting sqref="K25">
    <cfRule type="cellIs" priority="20" dxfId="0" operator="lessThan" stopIfTrue="1">
      <formula>1</formula>
    </cfRule>
  </conditionalFormatting>
  <conditionalFormatting sqref="M25">
    <cfRule type="cellIs" priority="19" dxfId="0" operator="lessThan" stopIfTrue="1">
      <formula>1</formula>
    </cfRule>
  </conditionalFormatting>
  <conditionalFormatting sqref="N25">
    <cfRule type="cellIs" priority="18" dxfId="0" operator="lessThan" stopIfTrue="1">
      <formula>1</formula>
    </cfRule>
  </conditionalFormatting>
  <conditionalFormatting sqref="P25">
    <cfRule type="cellIs" priority="17" dxfId="0" operator="lessThan" stopIfTrue="1">
      <formula>1</formula>
    </cfRule>
  </conditionalFormatting>
  <conditionalFormatting sqref="N23">
    <cfRule type="cellIs" priority="16" dxfId="0" operator="lessThan" stopIfTrue="1">
      <formula>1</formula>
    </cfRule>
  </conditionalFormatting>
  <conditionalFormatting sqref="P23">
    <cfRule type="cellIs" priority="15" dxfId="0" operator="lessThan" stopIfTrue="1">
      <formula>1</formula>
    </cfRule>
  </conditionalFormatting>
  <conditionalFormatting sqref="N27">
    <cfRule type="cellIs" priority="14" dxfId="0" operator="lessThan" stopIfTrue="1">
      <formula>1</formula>
    </cfRule>
  </conditionalFormatting>
  <conditionalFormatting sqref="P27">
    <cfRule type="cellIs" priority="13" dxfId="0" operator="lessThan" stopIfTrue="1">
      <formula>1</formula>
    </cfRule>
  </conditionalFormatting>
  <conditionalFormatting sqref="Q27">
    <cfRule type="cellIs" priority="12" dxfId="0" operator="lessThan" stopIfTrue="1">
      <formula>1</formula>
    </cfRule>
  </conditionalFormatting>
  <conditionalFormatting sqref="S27">
    <cfRule type="cellIs" priority="11" dxfId="0" operator="lessThan" stopIfTrue="1">
      <formula>1</formula>
    </cfRule>
  </conditionalFormatting>
  <conditionalFormatting sqref="Q29">
    <cfRule type="cellIs" priority="10" dxfId="0" operator="lessThan" stopIfTrue="1">
      <formula>1</formula>
    </cfRule>
  </conditionalFormatting>
  <conditionalFormatting sqref="S29">
    <cfRule type="cellIs" priority="9" dxfId="0" operator="lessThan" stopIfTrue="1">
      <formula>1</formula>
    </cfRule>
  </conditionalFormatting>
  <conditionalFormatting sqref="Q25">
    <cfRule type="cellIs" priority="8" dxfId="0" operator="lessThan" stopIfTrue="1">
      <formula>1</formula>
    </cfRule>
  </conditionalFormatting>
  <conditionalFormatting sqref="S25">
    <cfRule type="cellIs" priority="7" dxfId="0" operator="lessThan" stopIfTrue="1">
      <formula>1</formula>
    </cfRule>
  </conditionalFormatting>
  <conditionalFormatting sqref="S23">
    <cfRule type="cellIs" priority="5" dxfId="0" operator="lessThan" stopIfTrue="1">
      <formula>1</formula>
    </cfRule>
  </conditionalFormatting>
  <conditionalFormatting sqref="N9">
    <cfRule type="cellIs" priority="3" dxfId="0" operator="lessThan" stopIfTrue="1">
      <formula>1</formula>
    </cfRule>
  </conditionalFormatting>
  <conditionalFormatting sqref="P9">
    <cfRule type="cellIs" priority="2" dxfId="0" operator="lessThan" stopIfTrue="1">
      <formula>1</formula>
    </cfRule>
  </conditionalFormatting>
  <conditionalFormatting sqref="N5">
    <cfRule type="cellIs" priority="1" dxfId="92" operator="lessThan" stopIfTrue="1">
      <formula>1</formula>
    </cfRule>
  </conditionalFormatting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portrait" paperSize="9" r:id="rId1"/>
  <headerFooter alignWithMargins="0">
    <oddFooter>&amp;R&amp;6&amp;D; &amp;F;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60"/>
  <sheetViews>
    <sheetView showGridLines="0" tabSelected="1" zoomScalePageLayoutView="0" workbookViewId="0" topLeftCell="B27">
      <selection activeCell="Y35" sqref="Y35"/>
    </sheetView>
  </sheetViews>
  <sheetFormatPr defaultColWidth="11.421875" defaultRowHeight="12.75" outlineLevelRow="1" outlineLevelCol="1"/>
  <cols>
    <col min="1" max="1" width="7.140625" style="33" hidden="1" customWidth="1" outlineLevel="1"/>
    <col min="2" max="2" width="2.00390625" style="3" customWidth="1" collapsed="1"/>
    <col min="3" max="3" width="6.8515625" style="3" customWidth="1"/>
    <col min="4" max="4" width="24.7109375" style="3" customWidth="1"/>
    <col min="5" max="5" width="4.00390625" style="3" customWidth="1"/>
    <col min="6" max="6" width="1.7109375" style="3" customWidth="1"/>
    <col min="7" max="8" width="4.00390625" style="3" customWidth="1"/>
    <col min="9" max="9" width="1.7109375" style="3" customWidth="1"/>
    <col min="10" max="11" width="4.00390625" style="3" customWidth="1"/>
    <col min="12" max="12" width="1.7109375" style="3" customWidth="1"/>
    <col min="13" max="14" width="4.00390625" style="3" customWidth="1"/>
    <col min="15" max="15" width="1.7109375" style="3" customWidth="1"/>
    <col min="16" max="17" width="4.00390625" style="3" customWidth="1"/>
    <col min="18" max="18" width="1.7109375" style="3" customWidth="1"/>
    <col min="19" max="20" width="4.00390625" style="3" customWidth="1"/>
    <col min="21" max="21" width="1.7109375" style="3" customWidth="1"/>
    <col min="22" max="22" width="4.00390625" style="3" customWidth="1"/>
    <col min="23" max="23" width="4.7109375" style="3" customWidth="1"/>
    <col min="24" max="24" width="6.57421875" style="3" hidden="1" customWidth="1"/>
    <col min="25" max="25" width="4.00390625" style="3" customWidth="1"/>
    <col min="26" max="26" width="4.8515625" style="3" customWidth="1"/>
    <col min="27" max="27" width="1.7109375" style="3" customWidth="1"/>
    <col min="28" max="29" width="4.00390625" style="3" customWidth="1"/>
    <col min="30" max="30" width="1.7109375" style="3" customWidth="1"/>
    <col min="31" max="31" width="4.00390625" style="3" customWidth="1"/>
    <col min="32" max="16384" width="11.421875" style="3" customWidth="1"/>
  </cols>
  <sheetData>
    <row r="1" spans="2:23" ht="24.75" customHeight="1">
      <c r="B1" s="65"/>
      <c r="C1" s="60" t="str">
        <f>+Daten!A1&amp;" "&amp;Daten!B1&amp;" "&amp;Daten!I1</f>
        <v>52. Deutsche Prellball Meisterschaften der Jugend 2015</v>
      </c>
      <c r="D1" s="17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3" ht="21.75" customHeight="1">
      <c r="C2" s="67" t="s">
        <v>19</v>
      </c>
      <c r="D2" s="68"/>
      <c r="E2" s="69"/>
      <c r="F2" s="70"/>
      <c r="G2" s="69"/>
      <c r="H2" s="71"/>
      <c r="I2" s="71"/>
      <c r="J2" s="71"/>
      <c r="K2" s="71"/>
      <c r="L2" s="71"/>
      <c r="M2" s="71"/>
      <c r="N2" s="71"/>
      <c r="O2" s="71"/>
      <c r="P2" s="67" t="str">
        <f>+Daten!I12</f>
        <v>männl. Jugend 15-18</v>
      </c>
      <c r="Q2" s="72"/>
      <c r="R2" s="72"/>
      <c r="S2" s="72"/>
      <c r="T2" s="73"/>
      <c r="U2" s="73"/>
      <c r="V2" s="73"/>
      <c r="W2" s="68"/>
    </row>
    <row r="3" spans="1:23" ht="6.75" customHeight="1">
      <c r="A3" s="33" t="s">
        <v>18</v>
      </c>
      <c r="C3" s="74"/>
      <c r="D3" s="71"/>
      <c r="E3" s="76"/>
      <c r="F3" s="75">
        <v>1</v>
      </c>
      <c r="G3" s="76"/>
      <c r="H3" s="77"/>
      <c r="I3" s="77">
        <v>2</v>
      </c>
      <c r="J3" s="77"/>
      <c r="K3" s="77"/>
      <c r="L3" s="77">
        <v>3</v>
      </c>
      <c r="M3" s="77"/>
      <c r="N3" s="77"/>
      <c r="O3" s="77">
        <v>4</v>
      </c>
      <c r="P3" s="77"/>
      <c r="Q3" s="77"/>
      <c r="R3" s="77">
        <v>5</v>
      </c>
      <c r="S3" s="171"/>
      <c r="T3" s="71"/>
      <c r="U3" s="71"/>
      <c r="V3" s="71"/>
      <c r="W3" s="71"/>
    </row>
    <row r="4" spans="3:30" ht="12.75" customHeight="1">
      <c r="C4" s="78"/>
      <c r="D4" s="79" t="str">
        <f>+Daten!I13</f>
        <v>Gruppe G</v>
      </c>
      <c r="E4" s="172"/>
      <c r="F4" s="81" t="str">
        <f>+D5</f>
        <v>TV Sottrum</v>
      </c>
      <c r="G4" s="82"/>
      <c r="H4" s="83"/>
      <c r="I4" s="81" t="str">
        <f>+D7</f>
        <v>TuS Aschen-Strang</v>
      </c>
      <c r="J4" s="84"/>
      <c r="K4" s="83"/>
      <c r="L4" s="81" t="str">
        <f>+D9</f>
        <v>TV Jahn Bad Lippspringe</v>
      </c>
      <c r="M4" s="84"/>
      <c r="N4" s="83"/>
      <c r="O4" s="81" t="str">
        <f>+D11</f>
        <v>TuS Westfalia Dortmund-Sölde</v>
      </c>
      <c r="P4" s="84"/>
      <c r="Q4" s="83"/>
      <c r="R4" s="81" t="str">
        <f>+D13</f>
        <v>VfL Waiblingen</v>
      </c>
      <c r="S4" s="84"/>
      <c r="T4" s="85"/>
      <c r="U4" s="86" t="s">
        <v>20</v>
      </c>
      <c r="V4" s="87"/>
      <c r="W4" s="88" t="s">
        <v>21</v>
      </c>
      <c r="AD4" s="89"/>
    </row>
    <row r="5" spans="1:29" ht="15" customHeight="1">
      <c r="A5" s="33">
        <v>1</v>
      </c>
      <c r="C5" s="90" t="str">
        <f>IF(Daten!H14="","",Daten!H14)</f>
        <v>NI</v>
      </c>
      <c r="D5" s="91" t="str">
        <f>IF(Daten!I14="","",Daten!I14)</f>
        <v>TV Sottrum</v>
      </c>
      <c r="E5" s="92"/>
      <c r="F5" s="93"/>
      <c r="G5" s="94"/>
      <c r="H5" s="95">
        <f>IF(ISERROR(VLOOKUP($A$3&amp;TEXT($A5,"00")&amp;TEXT(I$3,"00"),Samstag!$A$24:$Y$205,16,FALSE)),"",VLOOKUP($A$3&amp;TEXT($A5,"00")&amp;TEXT(I$3,"00"),Samstag!$A$24:$Y$205,16,FALSE))</f>
        <v>34</v>
      </c>
      <c r="I5" s="96" t="s">
        <v>22</v>
      </c>
      <c r="J5" s="97">
        <f>IF(ISERROR(VLOOKUP($A$3&amp;TEXT($A5,"00")&amp;TEXT(I$3,"00"),Samstag!$A$24:$Y$205,18,FALSE)),"",VLOOKUP($A$3&amp;TEXT($A5,"00")&amp;TEXT(I$3,"00"),Samstag!$A$24:$Y$205,18,FALSE))</f>
        <v>27</v>
      </c>
      <c r="K5" s="95">
        <f>IF(ISERROR(VLOOKUP($A$3&amp;TEXT($A5,"00")&amp;TEXT(L$3,"00"),Samstag!$A$24:$Y$205,16,FALSE)),"",VLOOKUP($A$3&amp;TEXT($A5,"00")&amp;TEXT(L$3,"00"),Samstag!$A$24:$Y$205,16,FALSE))</f>
        <v>31</v>
      </c>
      <c r="L5" s="96" t="s">
        <v>22</v>
      </c>
      <c r="M5" s="97">
        <f>IF(ISERROR(VLOOKUP($A$3&amp;TEXT($A5,"00")&amp;TEXT(L$3,"00"),Samstag!$A$24:$Y$205,18,FALSE)),"",VLOOKUP($A$3&amp;TEXT($A5,"00")&amp;TEXT(L$3,"00"),Samstag!$A$24:$Y$205,18,FALSE))</f>
        <v>24</v>
      </c>
      <c r="N5" s="95">
        <f>IF(ISERROR(VLOOKUP($A$3&amp;TEXT($A5,"00")&amp;TEXT(O$3,"00"),Samstag!$A$24:$Y$205,16,FALSE)),"",VLOOKUP($A$3&amp;TEXT($A5,"00")&amp;TEXT(O$3,"00"),Samstag!$A$24:$Y$205,16,FALSE))</f>
        <v>28</v>
      </c>
      <c r="O5" s="96" t="s">
        <v>22</v>
      </c>
      <c r="P5" s="97">
        <f>IF(ISERROR(VLOOKUP($A$3&amp;TEXT($A5,"00")&amp;TEXT(O$3,"00"),Samstag!$A$24:$Y$205,18,FALSE)),"",VLOOKUP($A$3&amp;TEXT($A5,"00")&amp;TEXT(O$3,"00"),Samstag!$A$24:$Y$205,18,FALSE))</f>
        <v>30</v>
      </c>
      <c r="Q5" s="95">
        <f>IF(ISERROR(VLOOKUP($A$3&amp;TEXT($A5,"00")&amp;TEXT(R$3,"00"),Samstag!$A$24:$Y$205,16,FALSE)),"",VLOOKUP($A$3&amp;TEXT($A5,"00")&amp;TEXT(R$3,"00"),Samstag!$A$24:$Y$205,16,FALSE))</f>
        <v>40</v>
      </c>
      <c r="R5" s="96" t="s">
        <v>22</v>
      </c>
      <c r="S5" s="97">
        <f>IF(ISERROR(VLOOKUP($A$3&amp;TEXT($A5,"00")&amp;TEXT(R$3,"00"),Samstag!$A$24:$Y$205,18,FALSE)),"",VLOOKUP($A$3&amp;TEXT($A5,"00")&amp;TEXT(R$3,"00"),Samstag!$A$24:$Y$205,18,FALSE))</f>
        <v>20</v>
      </c>
      <c r="T5" s="98">
        <f>IF(Y6="","",SUM(E5,H5,K5,N5,Q5))</f>
        <v>133</v>
      </c>
      <c r="U5" s="96" t="s">
        <v>22</v>
      </c>
      <c r="V5" s="99">
        <f>IF(Y6="","",SUM(G5,J5,M5,P5,S5))</f>
        <v>101</v>
      </c>
      <c r="W5" s="112">
        <f>IF(Y5="","",RANK(X6,($X$6,$X$8,$X$10,$X$12,$X$14),0))</f>
        <v>2</v>
      </c>
      <c r="Y5" s="101" t="s">
        <v>197</v>
      </c>
      <c r="AB5" s="3">
        <v>1</v>
      </c>
      <c r="AC5" s="173" t="str">
        <f>IF(W5="","",IF($W$5=1,$D$5,IF($W$7=1,$D$7,IF($W$9=1,$D$9,IF($W$11=1,$D$11,IF($W$13=1,$D$13,0))))))</f>
        <v>TuS Westfalia Dortmund-Sölde</v>
      </c>
    </row>
    <row r="6" spans="3:29" ht="10.5" customHeight="1">
      <c r="C6" s="103"/>
      <c r="D6" s="104"/>
      <c r="E6" s="105"/>
      <c r="F6" s="106"/>
      <c r="G6" s="107"/>
      <c r="H6" s="108">
        <f>IF(H5=0,"",IF(H5&gt;J5,2,IF(H5&lt;J5,0,1)))</f>
        <v>2</v>
      </c>
      <c r="I6" s="52" t="s">
        <v>23</v>
      </c>
      <c r="J6" s="109">
        <f>IF(J5=0,"",IF(J5&gt;H5,2,IF(J5&lt;H5,0,1)))</f>
        <v>0</v>
      </c>
      <c r="K6" s="108">
        <f>IF(K5=0,"",IF(K5&gt;M5,2,IF(K5&lt;M5,0,1)))</f>
        <v>2</v>
      </c>
      <c r="L6" s="52" t="s">
        <v>23</v>
      </c>
      <c r="M6" s="109">
        <f>IF(M5=0,"",IF(M5&gt;K5,2,IF(M5&lt;K5,0,1)))</f>
        <v>0</v>
      </c>
      <c r="N6" s="108">
        <f>IF(N5=0,"",IF(N5&gt;P5,2,IF(N5&lt;P5,0,1)))</f>
        <v>0</v>
      </c>
      <c r="O6" s="52" t="s">
        <v>23</v>
      </c>
      <c r="P6" s="109">
        <f>IF(P5=0,"",IF(P5&gt;N5,2,IF(P5&lt;N5,0,1)))</f>
        <v>2</v>
      </c>
      <c r="Q6" s="108">
        <f>IF(Q5=0,"",IF(Q5&gt;S5,2,IF(Q5&lt;S5,0,1)))</f>
        <v>2</v>
      </c>
      <c r="R6" s="52" t="s">
        <v>23</v>
      </c>
      <c r="S6" s="109">
        <f>IF(S5=0,"",IF(S5&gt;Q5,2,IF(S5&lt;Q5,0,1)))</f>
        <v>0</v>
      </c>
      <c r="T6" s="108">
        <f>IF(Y6="","",SUM(E6,H6,K6,N6,Q6))</f>
        <v>6</v>
      </c>
      <c r="U6" s="52" t="s">
        <v>23</v>
      </c>
      <c r="V6" s="109">
        <f>IF(Y6="","",SUM(G6,J6,M6,P6,S6))</f>
        <v>2</v>
      </c>
      <c r="W6" s="110"/>
      <c r="X6" s="111">
        <f>+(T6-V6)+T5/V5+T6</f>
        <v>11.316831683168317</v>
      </c>
      <c r="Y6" s="101" t="s">
        <v>197</v>
      </c>
      <c r="AC6" s="173"/>
    </row>
    <row r="7" spans="1:29" ht="15" customHeight="1">
      <c r="A7" s="33">
        <v>2</v>
      </c>
      <c r="C7" s="90" t="str">
        <f>IF(Daten!H15="","",Daten!H15)</f>
        <v>NI</v>
      </c>
      <c r="D7" s="91" t="str">
        <f>IF(Daten!I15="","",Daten!I15)</f>
        <v>TuS Aschen-Strang</v>
      </c>
      <c r="E7" s="95">
        <f>IF(J5=0,"",J5)</f>
        <v>27</v>
      </c>
      <c r="F7" s="96" t="s">
        <v>22</v>
      </c>
      <c r="G7" s="97">
        <f>IF(H5=0,"",H5)</f>
        <v>34</v>
      </c>
      <c r="H7" s="92"/>
      <c r="I7" s="93"/>
      <c r="J7" s="94"/>
      <c r="K7" s="95">
        <f>IF(ISERROR(VLOOKUP($A$3&amp;TEXT($A7,"00")&amp;TEXT(L$3,"00"),Samstag!$A$24:$Y$205,16,FALSE)),"",VLOOKUP($A$3&amp;TEXT($A7,"00")&amp;TEXT(L$3,"00"),Samstag!$A$24:$Y$205,16,FALSE))</f>
        <v>33</v>
      </c>
      <c r="L7" s="96" t="s">
        <v>22</v>
      </c>
      <c r="M7" s="97">
        <f>IF(ISERROR(VLOOKUP($A$3&amp;TEXT($A7,"00")&amp;TEXT(L$3,"00"),Samstag!$A$24:$Y$205,18,FALSE)),"",VLOOKUP($A$3&amp;TEXT($A7,"00")&amp;TEXT(L$3,"00"),Samstag!$A$24:$Y$205,18,FALSE))</f>
        <v>25</v>
      </c>
      <c r="N7" s="95">
        <f>IF(ISERROR(VLOOKUP($A$3&amp;TEXT($A7,"00")&amp;TEXT(O$3,"00"),Samstag!$A$24:$Y$205,16,FALSE)),"",VLOOKUP($A$3&amp;TEXT($A7,"00")&amp;TEXT(O$3,"00"),Samstag!$A$24:$Y$205,16,FALSE))</f>
        <v>24</v>
      </c>
      <c r="O7" s="96" t="s">
        <v>22</v>
      </c>
      <c r="P7" s="97">
        <f>IF(ISERROR(VLOOKUP($A$3&amp;TEXT($A7,"00")&amp;TEXT(O$3,"00"),Samstag!$A$24:$Y$205,18,FALSE)),"",VLOOKUP($A$3&amp;TEXT($A7,"00")&amp;TEXT(O$3,"00"),Samstag!$A$24:$Y$205,18,FALSE))</f>
        <v>38</v>
      </c>
      <c r="Q7" s="95">
        <f>IF(ISERROR(VLOOKUP($A$3&amp;TEXT($A7,"00")&amp;TEXT(R$3,"00"),Samstag!$A$24:$Y$205,16,FALSE)),"",VLOOKUP($A$3&amp;TEXT($A7,"00")&amp;TEXT(R$3,"00"),Samstag!$A$24:$Y$205,16,FALSE))</f>
        <v>37</v>
      </c>
      <c r="R7" s="96" t="s">
        <v>22</v>
      </c>
      <c r="S7" s="97">
        <f>IF(ISERROR(VLOOKUP($A$3&amp;TEXT($A7,"00")&amp;TEXT(R$3,"00"),Samstag!$A$24:$Y$205,18,FALSE)),"",VLOOKUP($A$3&amp;TEXT($A7,"00")&amp;TEXT(R$3,"00"),Samstag!$A$24:$Y$205,18,FALSE))</f>
        <v>26</v>
      </c>
      <c r="T7" s="98">
        <f>IF(Y8="","",SUM(E7,H7,K7,N7,Q7))</f>
        <v>121</v>
      </c>
      <c r="U7" s="96" t="s">
        <v>22</v>
      </c>
      <c r="V7" s="99">
        <f>IF(Y8="","",SUM(G7,J7,M7,P7,S7))</f>
        <v>123</v>
      </c>
      <c r="W7" s="112">
        <f>IF(Y7="","",RANK(X8,($X$6,$X$8,$X$10,$X$12,$X$14),0))</f>
        <v>3</v>
      </c>
      <c r="Y7" s="101" t="s">
        <v>197</v>
      </c>
      <c r="AB7" s="3">
        <v>2</v>
      </c>
      <c r="AC7" s="173" t="str">
        <f>IF(W7="","",IF($W$5=2,$D$5,IF($W$7=2,$D$7,IF($W$9=2,$D$9,IF($W$11=2,$D$11,IF($W$13=2,$D$13,0))))))</f>
        <v>TV Sottrum</v>
      </c>
    </row>
    <row r="8" spans="3:29" ht="10.5" customHeight="1">
      <c r="C8" s="103"/>
      <c r="D8" s="104"/>
      <c r="E8" s="108">
        <f>IF(E7="","",IF(E7&gt;G7,2,IF(E7&lt;G7,0,1)))</f>
        <v>0</v>
      </c>
      <c r="F8" s="52" t="s">
        <v>23</v>
      </c>
      <c r="G8" s="109">
        <f>IF(G7="","",IF(G7&gt;E7,2,IF(G7&lt;E7,0,1)))</f>
        <v>2</v>
      </c>
      <c r="H8" s="105"/>
      <c r="I8" s="106"/>
      <c r="J8" s="107"/>
      <c r="K8" s="108">
        <f>IF(K7=0,"",IF(K7&gt;M7,2,IF(K7&lt;M7,0,1)))</f>
        <v>2</v>
      </c>
      <c r="L8" s="52" t="s">
        <v>23</v>
      </c>
      <c r="M8" s="109">
        <f>IF(M7=0,"",IF(M7&gt;K7,2,IF(M7&lt;K7,0,1)))</f>
        <v>0</v>
      </c>
      <c r="N8" s="108">
        <f>IF(N7=0,"",IF(N7&gt;P7,2,IF(N7&lt;P7,0,1)))</f>
        <v>0</v>
      </c>
      <c r="O8" s="52" t="s">
        <v>23</v>
      </c>
      <c r="P8" s="109">
        <f>IF(P7=0,"",IF(P7&gt;N7,2,IF(P7&lt;N7,0,1)))</f>
        <v>2</v>
      </c>
      <c r="Q8" s="108">
        <f>IF(Q7=0,"",IF(Q7&gt;S7,2,IF(Q7&lt;S7,0,1)))</f>
        <v>2</v>
      </c>
      <c r="R8" s="52" t="s">
        <v>23</v>
      </c>
      <c r="S8" s="109">
        <f>IF(S7=0,"",IF(S7&gt;Q7,2,IF(S7&lt;Q7,0,1)))</f>
        <v>0</v>
      </c>
      <c r="T8" s="108">
        <f>IF(Y8="","",SUM(E8,H8,K8,N8,Q8))</f>
        <v>4</v>
      </c>
      <c r="U8" s="52" t="s">
        <v>23</v>
      </c>
      <c r="V8" s="109">
        <f>IF(Y8="","",SUM(G8,J8,M8,P8,S8))</f>
        <v>4</v>
      </c>
      <c r="W8" s="110"/>
      <c r="X8" s="111">
        <f>+(T8-V8)+T7/V7+T8</f>
        <v>4.983739837398374</v>
      </c>
      <c r="Y8" s="101" t="s">
        <v>197</v>
      </c>
      <c r="AC8" s="173"/>
    </row>
    <row r="9" spans="1:29" ht="15" customHeight="1">
      <c r="A9" s="33">
        <v>3</v>
      </c>
      <c r="C9" s="90" t="str">
        <f>IF(Daten!H16="","",Daten!H16)</f>
        <v>WE</v>
      </c>
      <c r="D9" s="91" t="str">
        <f>IF(Daten!I16="","",Daten!I16)</f>
        <v>TV Jahn Bad Lippspringe</v>
      </c>
      <c r="E9" s="98">
        <f>IF(M5=0,"",M5)</f>
        <v>24</v>
      </c>
      <c r="F9" s="96" t="s">
        <v>22</v>
      </c>
      <c r="G9" s="99">
        <f>IF(K5=0,"",K5)</f>
        <v>31</v>
      </c>
      <c r="H9" s="95">
        <f>IF(M7=0,"",M7)</f>
        <v>25</v>
      </c>
      <c r="I9" s="96" t="s">
        <v>22</v>
      </c>
      <c r="J9" s="97">
        <f>IF(K7=0,"",K7)</f>
        <v>33</v>
      </c>
      <c r="K9" s="92"/>
      <c r="L9" s="93"/>
      <c r="M9" s="94"/>
      <c r="N9" s="95">
        <f>IF(ISERROR(VLOOKUP($A$3&amp;TEXT($A9,"00")&amp;TEXT(O$3,"00"),Samstag!$A$24:$Y$205,16,FALSE)),"",VLOOKUP($A$3&amp;TEXT($A9,"00")&amp;TEXT(O$3,"00"),Samstag!$A$24:$Y$205,16,FALSE))</f>
        <v>24</v>
      </c>
      <c r="O9" s="96" t="s">
        <v>22</v>
      </c>
      <c r="P9" s="97">
        <f>IF(ISERROR(VLOOKUP($A$3&amp;TEXT($A9,"00")&amp;TEXT(O$3,"00"),Samstag!$A$24:$Y$205,18,FALSE)),"",VLOOKUP($A$3&amp;TEXT($A9,"00")&amp;TEXT(O$3,"00"),Samstag!$A$24:$Y$205,18,FALSE))</f>
        <v>31</v>
      </c>
      <c r="Q9" s="95">
        <f>IF(ISERROR(VLOOKUP($A$3&amp;TEXT($A9,"00")&amp;TEXT(R$3,"00"),Samstag!$A$24:$Y$205,16,FALSE)),"",VLOOKUP($A$3&amp;TEXT($A9,"00")&amp;TEXT(R$3,"00"),Samstag!$A$24:$Y$205,16,FALSE))</f>
        <v>37</v>
      </c>
      <c r="R9" s="96" t="s">
        <v>22</v>
      </c>
      <c r="S9" s="97">
        <f>IF(ISERROR(VLOOKUP($A$3&amp;TEXT($A9,"00")&amp;TEXT(R$3,"00"),Samstag!$A$24:$Y$205,18,FALSE)),"",VLOOKUP($A$3&amp;TEXT($A9,"00")&amp;TEXT(R$3,"00"),Samstag!$A$24:$Y$205,18,FALSE))</f>
        <v>33</v>
      </c>
      <c r="T9" s="98">
        <f>IF(Y10="","",SUM(E9,H9,K9,N9,Q9))</f>
        <v>110</v>
      </c>
      <c r="U9" s="96" t="s">
        <v>22</v>
      </c>
      <c r="V9" s="99">
        <f>IF(Y10="","",SUM(G9,J9,M9,P9,S9))</f>
        <v>128</v>
      </c>
      <c r="W9" s="112">
        <f>IF(Y9="","",RANK(X10,($X$6,$X$8,$X$10,$X$12,$X$14),0))</f>
        <v>4</v>
      </c>
      <c r="Y9" s="101" t="s">
        <v>197</v>
      </c>
      <c r="AB9" s="3">
        <v>3</v>
      </c>
      <c r="AC9" s="173" t="str">
        <f>IF(W9="","",IF($W$5=3,$D$5,IF($W$7=3,$D$7,IF($W$9=3,$D$9,IF($W$11=3,$D$11,IF($W$13=3,$D$13,0))))))</f>
        <v>TuS Aschen-Strang</v>
      </c>
    </row>
    <row r="10" spans="3:29" ht="10.5" customHeight="1">
      <c r="C10" s="113"/>
      <c r="D10" s="104"/>
      <c r="E10" s="108">
        <f>IF(E9="","",IF(E9&gt;G9,2,IF(E9&lt;G9,0,1)))</f>
        <v>0</v>
      </c>
      <c r="F10" s="52" t="s">
        <v>23</v>
      </c>
      <c r="G10" s="109">
        <f>IF(G9="","",IF(G9&gt;E9,2,IF(G9&lt;E9,0,1)))</f>
        <v>2</v>
      </c>
      <c r="H10" s="108">
        <f>IF(H9="","",IF(H9&gt;J9,2,IF(H9&lt;J9,0,1)))</f>
        <v>0</v>
      </c>
      <c r="I10" s="52" t="s">
        <v>23</v>
      </c>
      <c r="J10" s="109">
        <f>IF(J9="","",IF(J9&gt;H9,2,IF(J9&lt;H9,0,1)))</f>
        <v>2</v>
      </c>
      <c r="K10" s="105"/>
      <c r="L10" s="106"/>
      <c r="M10" s="107"/>
      <c r="N10" s="108">
        <f>IF(N9=0,"",IF(N9&gt;P9,2,IF(N9&lt;P9,0,1)))</f>
        <v>0</v>
      </c>
      <c r="O10" s="52" t="s">
        <v>23</v>
      </c>
      <c r="P10" s="109">
        <f>IF(P9=0,"",IF(P9&gt;N9,2,IF(P9&lt;N9,0,1)))</f>
        <v>2</v>
      </c>
      <c r="Q10" s="108">
        <f>IF(Q9=0,"",IF(Q9&gt;S9,2,IF(Q9&lt;S9,0,1)))</f>
        <v>2</v>
      </c>
      <c r="R10" s="52" t="s">
        <v>23</v>
      </c>
      <c r="S10" s="109">
        <f>IF(S9=0,"",IF(S9&gt;Q9,2,IF(S9&lt;Q9,0,1)))</f>
        <v>0</v>
      </c>
      <c r="T10" s="108">
        <f>IF(Y10="","",SUM(E10,H10,K10,N10,Q10))</f>
        <v>2</v>
      </c>
      <c r="U10" s="52" t="s">
        <v>23</v>
      </c>
      <c r="V10" s="109">
        <f>IF(Y10="","",SUM(G10,J10,M10,P10,S10))</f>
        <v>6</v>
      </c>
      <c r="W10" s="110"/>
      <c r="X10" s="111">
        <f>+(T10-V10)+T9/V9+T10</f>
        <v>-1.140625</v>
      </c>
      <c r="Y10" s="101" t="s">
        <v>197</v>
      </c>
      <c r="AC10" s="173"/>
    </row>
    <row r="11" spans="1:29" ht="15" customHeight="1">
      <c r="A11" s="33">
        <v>4</v>
      </c>
      <c r="C11" s="90" t="str">
        <f>IF(Daten!H17="","",Daten!H17)</f>
        <v>WE</v>
      </c>
      <c r="D11" s="91" t="str">
        <f>IF(Daten!I17="","",Daten!I17)</f>
        <v>TuS Westfalia Dortmund-Sölde</v>
      </c>
      <c r="E11" s="98">
        <f>IF(P5=0,"",P5)</f>
        <v>30</v>
      </c>
      <c r="F11" s="96" t="s">
        <v>22</v>
      </c>
      <c r="G11" s="99">
        <f>IF(N5=0,"",N5)</f>
        <v>28</v>
      </c>
      <c r="H11" s="98">
        <f>IF(P7=0,"",P7)</f>
        <v>38</v>
      </c>
      <c r="I11" s="96" t="s">
        <v>22</v>
      </c>
      <c r="J11" s="99">
        <f>IF(N7=0,"",N7)</f>
        <v>24</v>
      </c>
      <c r="K11" s="95">
        <f>IF(P9=0,"",P9)</f>
        <v>31</v>
      </c>
      <c r="L11" s="96" t="s">
        <v>22</v>
      </c>
      <c r="M11" s="97">
        <f>IF(N9=0,"",N9)</f>
        <v>24</v>
      </c>
      <c r="N11" s="92"/>
      <c r="O11" s="93"/>
      <c r="P11" s="94"/>
      <c r="Q11" s="95">
        <f>IF(ISERROR(VLOOKUP($A$3&amp;TEXT($A11,"00")&amp;TEXT(R$3,"00"),Samstag!$A$24:$Y$205,16,FALSE)),"",VLOOKUP($A$3&amp;TEXT($A11,"00")&amp;TEXT(R$3,"00"),Samstag!$A$24:$Y$205,16,FALSE))</f>
        <v>38</v>
      </c>
      <c r="R11" s="96" t="s">
        <v>22</v>
      </c>
      <c r="S11" s="97">
        <f>IF(ISERROR(VLOOKUP($A$3&amp;TEXT($A11,"00")&amp;TEXT(R$3,"00"),Samstag!$A$24:$Y$205,18,FALSE)),"",VLOOKUP($A$3&amp;TEXT($A11,"00")&amp;TEXT(R$3,"00"),Samstag!$A$24:$Y$205,18,FALSE))</f>
        <v>24</v>
      </c>
      <c r="T11" s="98">
        <f>IF(Y12="","",SUM(E11,H11,K11,N11,Q11))</f>
        <v>137</v>
      </c>
      <c r="U11" s="96" t="s">
        <v>22</v>
      </c>
      <c r="V11" s="99">
        <f>IF(Y12="","",SUM(G11,J11,M11,P11,S11))</f>
        <v>100</v>
      </c>
      <c r="W11" s="112">
        <f>IF(Y11="","",RANK(X12,($X$6,$X$8,$X$10,$X$12,$X$14),0))</f>
        <v>1</v>
      </c>
      <c r="Y11" s="101" t="s">
        <v>197</v>
      </c>
      <c r="AB11" s="3">
        <v>4</v>
      </c>
      <c r="AC11" s="173" t="str">
        <f>IF(W11="","",IF($W$5=4,$D$5,IF($W$7=4,$D$7,IF($W$9=4,$D$9,IF($W$11=4,$D$11,IF($W$13=4,$D$13,0))))))</f>
        <v>TV Jahn Bad Lippspringe</v>
      </c>
    </row>
    <row r="12" spans="3:29" ht="10.5" customHeight="1">
      <c r="C12" s="113"/>
      <c r="D12" s="104"/>
      <c r="E12" s="108">
        <f>IF(E11="","",IF(E11&gt;G11,2,IF(E11&lt;G11,0,1)))</f>
        <v>2</v>
      </c>
      <c r="F12" s="52" t="s">
        <v>23</v>
      </c>
      <c r="G12" s="109">
        <f>IF(G11="","",IF(G11&gt;E11,2,IF(G11&lt;E11,0,1)))</f>
        <v>0</v>
      </c>
      <c r="H12" s="108">
        <f>IF(H11="","",IF(H11&gt;J11,2,IF(H11&lt;J11,0,1)))</f>
        <v>2</v>
      </c>
      <c r="I12" s="52" t="s">
        <v>23</v>
      </c>
      <c r="J12" s="109">
        <f>IF(J11="","",IF(J11&gt;H11,2,IF(J11&lt;H11,0,1)))</f>
        <v>0</v>
      </c>
      <c r="K12" s="108">
        <f>IF(K11="","",IF(K11&gt;M11,2,IF(K11&lt;M11,0,1)))</f>
        <v>2</v>
      </c>
      <c r="L12" s="52" t="s">
        <v>23</v>
      </c>
      <c r="M12" s="109">
        <f>IF(M11="","",IF(M11&gt;K11,2,IF(M11&lt;K11,0,1)))</f>
        <v>0</v>
      </c>
      <c r="N12" s="105"/>
      <c r="O12" s="106"/>
      <c r="P12" s="107"/>
      <c r="Q12" s="108">
        <f>IF(Q11=0,"",IF(Q11&gt;S11,2,IF(Q11&lt;S11,0,1)))</f>
        <v>2</v>
      </c>
      <c r="R12" s="52" t="s">
        <v>23</v>
      </c>
      <c r="S12" s="109">
        <f>IF(S11=0,"",IF(S11&gt;Q11,2,IF(S11&lt;Q11,0,1)))</f>
        <v>0</v>
      </c>
      <c r="T12" s="108">
        <f>IF(Y12="","",SUM(E12,H12,K12,N12,Q12))</f>
        <v>8</v>
      </c>
      <c r="U12" s="52" t="s">
        <v>23</v>
      </c>
      <c r="V12" s="109">
        <f>IF(Y12="","",SUM(G12,J12,M12,P12,S12))</f>
        <v>0</v>
      </c>
      <c r="W12" s="110"/>
      <c r="X12" s="111">
        <f>+(T12-V12)+T11/V11+T12</f>
        <v>17.37</v>
      </c>
      <c r="Y12" s="101" t="s">
        <v>197</v>
      </c>
      <c r="AC12" s="173"/>
    </row>
    <row r="13" spans="1:29" ht="15" customHeight="1">
      <c r="A13" s="33">
        <v>5</v>
      </c>
      <c r="C13" s="90" t="str">
        <f>IF(Daten!H18="","",Daten!H18)</f>
        <v>SW</v>
      </c>
      <c r="D13" s="91" t="str">
        <f>IF(Daten!I18="","",Daten!I18)</f>
        <v>VfL Waiblingen</v>
      </c>
      <c r="E13" s="98">
        <f>IF(S5=0,"",S5)</f>
        <v>20</v>
      </c>
      <c r="F13" s="96" t="s">
        <v>22</v>
      </c>
      <c r="G13" s="99">
        <f>IF(Q5=0,"",Q5)</f>
        <v>40</v>
      </c>
      <c r="H13" s="98">
        <f>IF(S7=0,"",S7)</f>
        <v>26</v>
      </c>
      <c r="I13" s="96" t="s">
        <v>22</v>
      </c>
      <c r="J13" s="99">
        <f>IF(Q7=0,"",Q7)</f>
        <v>37</v>
      </c>
      <c r="K13" s="98">
        <f>IF(S9=0,"",S9)</f>
        <v>33</v>
      </c>
      <c r="L13" s="96" t="s">
        <v>22</v>
      </c>
      <c r="M13" s="99">
        <f>IF(Q9=0,"",Q9)</f>
        <v>37</v>
      </c>
      <c r="N13" s="95">
        <f>IF(S11=0,"",S11)</f>
        <v>24</v>
      </c>
      <c r="O13" s="96" t="s">
        <v>22</v>
      </c>
      <c r="P13" s="97">
        <f>IF(Q11=0,"",Q11)</f>
        <v>38</v>
      </c>
      <c r="Q13" s="92"/>
      <c r="R13" s="93"/>
      <c r="S13" s="94"/>
      <c r="T13" s="98">
        <f>IF(Y14="","",SUM(E13,H13,K13,N13,Q13))</f>
        <v>103</v>
      </c>
      <c r="U13" s="96" t="s">
        <v>22</v>
      </c>
      <c r="V13" s="99">
        <f>IF(Y14="","",SUM(G13,J13,M13,P13,S13))</f>
        <v>152</v>
      </c>
      <c r="W13" s="112">
        <f>IF(Y13="","",RANK(X14,($X$6,$X$8,$X$10,$X$12,$X$14),0))</f>
        <v>5</v>
      </c>
      <c r="Y13" s="101" t="s">
        <v>197</v>
      </c>
      <c r="AB13" s="3">
        <v>5</v>
      </c>
      <c r="AC13" s="173" t="str">
        <f>IF(W13="","",IF($W$5=5,$D$5,IF($W$7=5,$D$7,IF($W$9=5,$D$9,IF($W$11=5,$D$11,IF($W$13=5,$D$13,0))))))</f>
        <v>VfL Waiblingen</v>
      </c>
    </row>
    <row r="14" spans="3:25" ht="10.5" customHeight="1">
      <c r="C14" s="113"/>
      <c r="D14" s="114"/>
      <c r="E14" s="108">
        <f>IF(E13="","",IF(E13&gt;G13,2,IF(E13&lt;G13,0,1)))</f>
        <v>0</v>
      </c>
      <c r="F14" s="52" t="s">
        <v>23</v>
      </c>
      <c r="G14" s="109">
        <f>IF(G13="","",IF(G13&gt;E13,2,IF(G13&lt;E13,0,1)))</f>
        <v>2</v>
      </c>
      <c r="H14" s="108">
        <f>IF(H13="","",IF(H13&gt;J13,2,IF(H13&lt;J13,0,1)))</f>
        <v>0</v>
      </c>
      <c r="I14" s="52" t="s">
        <v>23</v>
      </c>
      <c r="J14" s="109">
        <f>IF(J13="","",IF(J13&gt;H13,2,IF(J13&lt;H13,0,1)))</f>
        <v>2</v>
      </c>
      <c r="K14" s="108">
        <f>IF(K13="","",IF(K13&gt;M13,2,IF(K13&lt;M13,0,1)))</f>
        <v>0</v>
      </c>
      <c r="L14" s="52" t="s">
        <v>23</v>
      </c>
      <c r="M14" s="109">
        <f>IF(M13="","",IF(M13&gt;K13,2,IF(M13&lt;K13,0,1)))</f>
        <v>2</v>
      </c>
      <c r="N14" s="108">
        <f>IF(N13="","",IF(N13&gt;P13,2,IF(N13&lt;P13,0,1)))</f>
        <v>0</v>
      </c>
      <c r="O14" s="52" t="s">
        <v>23</v>
      </c>
      <c r="P14" s="109">
        <f>IF(P13="","",IF(P13&gt;N13,2,IF(P13&lt;N13,0,1)))</f>
        <v>2</v>
      </c>
      <c r="Q14" s="105"/>
      <c r="R14" s="106"/>
      <c r="S14" s="107"/>
      <c r="T14" s="108">
        <f>IF(Y14="","",SUM(E14,H14,K14,N14,Q14))</f>
        <v>0</v>
      </c>
      <c r="U14" s="52" t="s">
        <v>23</v>
      </c>
      <c r="V14" s="109">
        <f>IF(Y14="","",SUM(G14,J14,M14,P14,S14))</f>
        <v>8</v>
      </c>
      <c r="W14" s="110"/>
      <c r="X14" s="111">
        <f>+(T14-V14)+T13/V13+T14</f>
        <v>-7.322368421052632</v>
      </c>
      <c r="Y14" s="101" t="s">
        <v>197</v>
      </c>
    </row>
    <row r="15" spans="3:25" ht="9.75" customHeight="1">
      <c r="C15" s="115"/>
      <c r="D15" s="115"/>
      <c r="E15" s="116"/>
      <c r="F15" s="96"/>
      <c r="G15" s="117"/>
      <c r="H15" s="116"/>
      <c r="I15" s="96"/>
      <c r="J15" s="117"/>
      <c r="K15" s="116"/>
      <c r="L15" s="96"/>
      <c r="M15" s="117"/>
      <c r="N15" s="116"/>
      <c r="O15" s="96"/>
      <c r="P15" s="117"/>
      <c r="Q15" s="118"/>
      <c r="R15" s="118"/>
      <c r="S15" s="118"/>
      <c r="T15" s="116"/>
      <c r="U15" s="96"/>
      <c r="V15" s="117"/>
      <c r="W15" s="119"/>
      <c r="X15" s="111"/>
      <c r="Y15" s="101"/>
    </row>
    <row r="16" spans="3:25" ht="9.75" customHeight="1" hidden="1" outlineLevel="1">
      <c r="C16" s="120" t="s">
        <v>24</v>
      </c>
      <c r="D16" s="121" t="str">
        <f>+D5</f>
        <v>TV Sottrum</v>
      </c>
      <c r="E16" s="122"/>
      <c r="F16" s="123" t="s">
        <v>70</v>
      </c>
      <c r="G16" s="124"/>
      <c r="H16" s="125"/>
      <c r="I16" s="126" t="s">
        <v>22</v>
      </c>
      <c r="J16" s="127"/>
      <c r="K16" s="125"/>
      <c r="L16" s="126" t="s">
        <v>22</v>
      </c>
      <c r="M16" s="127"/>
      <c r="N16" s="125"/>
      <c r="O16" s="126" t="s">
        <v>22</v>
      </c>
      <c r="P16" s="127"/>
      <c r="Q16" s="128"/>
      <c r="R16" s="126" t="s">
        <v>22</v>
      </c>
      <c r="S16" s="129"/>
      <c r="T16" s="56"/>
      <c r="U16" s="130"/>
      <c r="V16" s="131"/>
      <c r="W16" s="132"/>
      <c r="X16" s="111"/>
      <c r="Y16" s="101"/>
    </row>
    <row r="17" spans="3:25" ht="9.75" customHeight="1" hidden="1" outlineLevel="1">
      <c r="C17" s="133"/>
      <c r="D17" s="121" t="str">
        <f>+D7</f>
        <v>TuS Aschen-Strang</v>
      </c>
      <c r="E17" s="125">
        <f>IF(J16="","",J16)</f>
      </c>
      <c r="F17" s="126" t="s">
        <v>22</v>
      </c>
      <c r="G17" s="127">
        <f>IF(H16="","",H16)</f>
      </c>
      <c r="H17" s="122"/>
      <c r="I17" s="123"/>
      <c r="J17" s="124"/>
      <c r="K17" s="125"/>
      <c r="L17" s="126" t="s">
        <v>22</v>
      </c>
      <c r="M17" s="127"/>
      <c r="N17" s="125"/>
      <c r="O17" s="126" t="s">
        <v>22</v>
      </c>
      <c r="P17" s="127"/>
      <c r="Q17" s="128"/>
      <c r="R17" s="126" t="s">
        <v>22</v>
      </c>
      <c r="S17" s="129"/>
      <c r="T17" s="56"/>
      <c r="U17" s="130"/>
      <c r="V17" s="131"/>
      <c r="W17" s="132"/>
      <c r="X17" s="111"/>
      <c r="Y17" s="101"/>
    </row>
    <row r="18" spans="3:25" ht="9.75" customHeight="1" hidden="1" outlineLevel="1">
      <c r="C18" s="133"/>
      <c r="D18" s="121" t="str">
        <f>+D9</f>
        <v>TV Jahn Bad Lippspringe</v>
      </c>
      <c r="E18" s="125">
        <f>IF(M16="","",M16)</f>
      </c>
      <c r="F18" s="126" t="s">
        <v>22</v>
      </c>
      <c r="G18" s="127">
        <f>IF(K16="","",K16)</f>
      </c>
      <c r="H18" s="125">
        <f>IF(M17="","",M17)</f>
      </c>
      <c r="I18" s="126" t="s">
        <v>22</v>
      </c>
      <c r="J18" s="127">
        <f>IF(K17="","",K17)</f>
      </c>
      <c r="K18" s="122"/>
      <c r="L18" s="123" t="s">
        <v>70</v>
      </c>
      <c r="M18" s="124"/>
      <c r="N18" s="125"/>
      <c r="O18" s="126" t="s">
        <v>22</v>
      </c>
      <c r="P18" s="127"/>
      <c r="Q18" s="128"/>
      <c r="R18" s="126" t="s">
        <v>22</v>
      </c>
      <c r="S18" s="129"/>
      <c r="T18" s="56"/>
      <c r="U18" s="130"/>
      <c r="V18" s="131"/>
      <c r="W18" s="132"/>
      <c r="X18" s="111"/>
      <c r="Y18" s="101"/>
    </row>
    <row r="19" spans="3:25" ht="9.75" customHeight="1" hidden="1" outlineLevel="1">
      <c r="C19" s="133"/>
      <c r="D19" s="121" t="str">
        <f>+D11</f>
        <v>TuS Westfalia Dortmund-Sölde</v>
      </c>
      <c r="E19" s="125">
        <f>IF(P16="","",P16)</f>
      </c>
      <c r="F19" s="126" t="s">
        <v>22</v>
      </c>
      <c r="G19" s="127">
        <f>IF(N16="","",N16)</f>
      </c>
      <c r="H19" s="125">
        <f>IF(P17="","",P17)</f>
      </c>
      <c r="I19" s="126" t="s">
        <v>22</v>
      </c>
      <c r="J19" s="127">
        <f>IF(N17="","",N17)</f>
      </c>
      <c r="K19" s="125">
        <f>IF(P18="","",P18)</f>
      </c>
      <c r="L19" s="126" t="s">
        <v>22</v>
      </c>
      <c r="M19" s="127">
        <f>IF(N18="","",N18)</f>
      </c>
      <c r="N19" s="122"/>
      <c r="O19" s="123"/>
      <c r="P19" s="124"/>
      <c r="Q19" s="128"/>
      <c r="R19" s="126" t="s">
        <v>22</v>
      </c>
      <c r="S19" s="129"/>
      <c r="T19" s="56"/>
      <c r="U19" s="130"/>
      <c r="V19" s="131"/>
      <c r="W19" s="132"/>
      <c r="X19" s="111"/>
      <c r="Y19" s="101"/>
    </row>
    <row r="20" spans="3:25" ht="9.75" customHeight="1" hidden="1" outlineLevel="1">
      <c r="C20" s="133"/>
      <c r="D20" s="121" t="str">
        <f>+D13</f>
        <v>VfL Waiblingen</v>
      </c>
      <c r="E20" s="125">
        <f>IF(S16="","",S16)</f>
      </c>
      <c r="F20" s="126" t="s">
        <v>22</v>
      </c>
      <c r="G20" s="127">
        <f>IF(Q16="","",Q16)</f>
      </c>
      <c r="H20" s="125">
        <f>IF(S17="","",S17)</f>
      </c>
      <c r="I20" s="126" t="s">
        <v>22</v>
      </c>
      <c r="J20" s="127">
        <f>IF(Q17="","",Q17)</f>
      </c>
      <c r="K20" s="125">
        <f>IF(S18="","",S18)</f>
      </c>
      <c r="L20" s="126" t="s">
        <v>22</v>
      </c>
      <c r="M20" s="127">
        <f>IF(Q18="","",Q18)</f>
      </c>
      <c r="N20" s="125">
        <f>IF(S19="","",S19)</f>
      </c>
      <c r="O20" s="126" t="s">
        <v>22</v>
      </c>
      <c r="P20" s="127">
        <f>IF(Q19="","",Q19)</f>
      </c>
      <c r="Q20" s="122"/>
      <c r="R20" s="123"/>
      <c r="S20" s="124"/>
      <c r="T20" s="56"/>
      <c r="U20" s="130"/>
      <c r="V20" s="131"/>
      <c r="W20" s="132"/>
      <c r="X20" s="111"/>
      <c r="Y20" s="101"/>
    </row>
    <row r="21" spans="5:19" ht="12.75" collapsed="1">
      <c r="E21" s="134"/>
      <c r="F21" s="134">
        <v>11</v>
      </c>
      <c r="G21" s="134"/>
      <c r="H21" s="134"/>
      <c r="I21" s="134">
        <v>12</v>
      </c>
      <c r="J21" s="134"/>
      <c r="K21" s="134"/>
      <c r="L21" s="134">
        <v>13</v>
      </c>
      <c r="M21" s="134"/>
      <c r="N21" s="134"/>
      <c r="O21" s="134">
        <v>14</v>
      </c>
      <c r="P21" s="134"/>
      <c r="Q21" s="134"/>
      <c r="R21" s="134">
        <v>15</v>
      </c>
      <c r="S21" s="134"/>
    </row>
    <row r="22" spans="3:23" ht="12.75" customHeight="1">
      <c r="C22" s="135"/>
      <c r="D22" s="136" t="str">
        <f>+Daten!L13</f>
        <v>Gruppe H</v>
      </c>
      <c r="E22" s="83"/>
      <c r="F22" s="81" t="str">
        <f>+D23</f>
        <v>SV Werder Bremen</v>
      </c>
      <c r="G22" s="84"/>
      <c r="H22" s="83"/>
      <c r="I22" s="81" t="str">
        <f>+D25</f>
        <v>MTV Eiche Schönebeck</v>
      </c>
      <c r="J22" s="84"/>
      <c r="K22" s="83"/>
      <c r="L22" s="81" t="str">
        <f>+D27</f>
        <v>TSV Wuchzenhofen</v>
      </c>
      <c r="M22" s="84"/>
      <c r="N22" s="83"/>
      <c r="O22" s="81" t="str">
        <f>+D29</f>
        <v>TV Rieschweiler</v>
      </c>
      <c r="P22" s="84"/>
      <c r="Q22" s="83"/>
      <c r="R22" s="81" t="str">
        <f>+D31</f>
        <v>TV Kierdorf 1962</v>
      </c>
      <c r="S22" s="84"/>
      <c r="T22" s="85"/>
      <c r="U22" s="86" t="s">
        <v>20</v>
      </c>
      <c r="V22" s="87"/>
      <c r="W22" s="88" t="s">
        <v>21</v>
      </c>
    </row>
    <row r="23" spans="1:29" ht="15" customHeight="1">
      <c r="A23" s="33">
        <v>11</v>
      </c>
      <c r="C23" s="90" t="str">
        <f>IF(Daten!K14="","",Daten!K14)</f>
        <v>NI</v>
      </c>
      <c r="D23" s="91" t="str">
        <f>IF(Daten!L14="","",Daten!L14)</f>
        <v>SV Werder Bremen</v>
      </c>
      <c r="E23" s="92"/>
      <c r="F23" s="93"/>
      <c r="G23" s="94"/>
      <c r="H23" s="95">
        <f>IF(ISERROR(VLOOKUP($A$3&amp;TEXT($A23,"00")&amp;TEXT(I$21,"00"),Samstag!$A$24:$Y$205,16,FALSE)),"",VLOOKUP($A$3&amp;TEXT($A23,"00")&amp;TEXT(I$21,"00"),Samstag!$A$24:$Y$205,16,FALSE))</f>
        <v>32</v>
      </c>
      <c r="I23" s="96" t="s">
        <v>22</v>
      </c>
      <c r="J23" s="97">
        <f>IF(ISERROR(VLOOKUP($A$3&amp;TEXT($A23,"00")&amp;TEXT(I$21,"00"),Samstag!$A$24:$Y$205,18,FALSE)),"",VLOOKUP($A$3&amp;TEXT($A23,"00")&amp;TEXT(I$21,"00"),Samstag!$A$24:$Y$205,18,FALSE))</f>
        <v>23</v>
      </c>
      <c r="K23" s="95">
        <f>IF(ISERROR(VLOOKUP($A$3&amp;TEXT($A23,"00")&amp;TEXT(L$21,"00"),Samstag!$A$24:$Y$205,16,FALSE)),"",VLOOKUP($A$3&amp;TEXT($A23,"00")&amp;TEXT(L$21,"00"),Samstag!$A$24:$Y$205,16,FALSE))</f>
        <v>36</v>
      </c>
      <c r="L23" s="96" t="s">
        <v>22</v>
      </c>
      <c r="M23" s="97">
        <f>IF(ISERROR(VLOOKUP($A$3&amp;TEXT($A23,"00")&amp;TEXT(L$21,"00"),Samstag!$A$24:$Y$205,18,FALSE)),"",VLOOKUP($A$3&amp;TEXT($A23,"00")&amp;TEXT(L$21,"00"),Samstag!$A$24:$Y$205,18,FALSE))</f>
        <v>38</v>
      </c>
      <c r="N23" s="95">
        <f>IF(ISERROR(VLOOKUP($A$3&amp;TEXT($A23,"00")&amp;TEXT(O$21,"00"),Samstag!$A$24:$Y$205,16,FALSE)),"",VLOOKUP($A$3&amp;TEXT($A23,"00")&amp;TEXT(O$21,"00"),Samstag!$A$24:$Y$205,16,FALSE))</f>
        <v>32</v>
      </c>
      <c r="O23" s="96" t="s">
        <v>22</v>
      </c>
      <c r="P23" s="97">
        <f>IF(ISERROR(VLOOKUP($A$3&amp;TEXT($A23,"00")&amp;TEXT(O$21,"00"),Samstag!$A$24:$Y$205,18,FALSE)),"",VLOOKUP($A$3&amp;TEXT($A23,"00")&amp;TEXT(O$21,"00"),Samstag!$A$24:$Y$205,18,FALSE))</f>
        <v>33</v>
      </c>
      <c r="Q23" s="95">
        <f>IF(ISERROR(VLOOKUP($A$3&amp;TEXT($A23,"00")&amp;TEXT(R$21,"00"),Samstag!$A$24:$Y$205,16,FALSE)),"",VLOOKUP($A$3&amp;TEXT($A23,"00")&amp;TEXT(R$21,"00"),Samstag!$A$24:$Y$205,16,FALSE))</f>
        <v>28</v>
      </c>
      <c r="R23" s="96" t="s">
        <v>22</v>
      </c>
      <c r="S23" s="97">
        <f>IF(ISERROR(VLOOKUP($A$3&amp;TEXT($A23,"00")&amp;TEXT(R$21,"00"),Samstag!$A$24:$Y$205,18,FALSE)),"",VLOOKUP($A$3&amp;TEXT($A23,"00")&amp;TEXT(R$21,"00"),Samstag!$A$24:$Y$205,18,FALSE))</f>
        <v>36</v>
      </c>
      <c r="T23" s="98">
        <f>IF(Y24="","",SUM(E23,H23,K23,N23,Q23))</f>
        <v>128</v>
      </c>
      <c r="U23" s="96" t="s">
        <v>22</v>
      </c>
      <c r="V23" s="99">
        <f>IF(Y24="","",SUM(G23,J23,M23,P23,S23))</f>
        <v>130</v>
      </c>
      <c r="W23" s="112">
        <v>5</v>
      </c>
      <c r="Y23" s="101" t="s">
        <v>197</v>
      </c>
      <c r="AB23" s="3">
        <v>1</v>
      </c>
      <c r="AC23" s="3" t="str">
        <f>IF(W23="","",IF($W$23=1,$D$23,IF($W$25=1,$D$25,IF($W$27=1,$D$27,IF($W$29=1,$D$29,IF($W$31=1,$D$31,0))))))</f>
        <v>TV Rieschweiler</v>
      </c>
    </row>
    <row r="24" spans="3:25" ht="10.5" customHeight="1">
      <c r="C24" s="137"/>
      <c r="D24" s="138"/>
      <c r="E24" s="105"/>
      <c r="F24" s="106"/>
      <c r="G24" s="107"/>
      <c r="H24" s="108">
        <f>IF(H23=0,"",IF(H23&gt;J23,2,IF(H23&lt;J23,0,1)))</f>
        <v>2</v>
      </c>
      <c r="I24" s="52" t="s">
        <v>23</v>
      </c>
      <c r="J24" s="109">
        <f>IF(J23=0,"",IF(J23&gt;H23,2,IF(J23&lt;H23,0,1)))</f>
        <v>0</v>
      </c>
      <c r="K24" s="108">
        <f>IF(K23=0,"",IF(K23&gt;M23,2,IF(K23&lt;M23,0,1)))</f>
        <v>0</v>
      </c>
      <c r="L24" s="52" t="s">
        <v>23</v>
      </c>
      <c r="M24" s="109">
        <f>IF(M23=0,"",IF(M23&gt;K23,2,IF(M23&lt;K23,0,1)))</f>
        <v>2</v>
      </c>
      <c r="N24" s="108">
        <f>IF(N23=0,"",IF(N23&gt;P23,2,IF(N23&lt;P23,0,1)))</f>
        <v>0</v>
      </c>
      <c r="O24" s="52" t="s">
        <v>23</v>
      </c>
      <c r="P24" s="109">
        <f>IF(P23=0,"",IF(P23&gt;N23,2,IF(P23&lt;N23,0,1)))</f>
        <v>2</v>
      </c>
      <c r="Q24" s="108">
        <f>IF(Q23=0,"",IF(Q23&gt;S23,2,IF(Q23&lt;S23,0,1)))</f>
        <v>0</v>
      </c>
      <c r="R24" s="52" t="s">
        <v>23</v>
      </c>
      <c r="S24" s="109">
        <f>IF(S23=0,"",IF(S23&gt;Q23,2,IF(S23&lt;Q23,0,1)))</f>
        <v>2</v>
      </c>
      <c r="T24" s="108">
        <f>IF(Y24="","",SUM(E24,H24,K24,N24,Q24))</f>
        <v>2</v>
      </c>
      <c r="U24" s="52" t="s">
        <v>23</v>
      </c>
      <c r="V24" s="109">
        <f>IF(Y24="","",SUM(G24,J24,M24,P24,S24))</f>
        <v>6</v>
      </c>
      <c r="W24" s="110"/>
      <c r="X24" s="111">
        <f>+(T24-V24)+T23/V23+T24</f>
        <v>-1.0153846153846153</v>
      </c>
      <c r="Y24" s="101" t="s">
        <v>197</v>
      </c>
    </row>
    <row r="25" spans="1:29" ht="15" customHeight="1">
      <c r="A25" s="33">
        <v>12</v>
      </c>
      <c r="C25" s="90" t="str">
        <f>IF(Daten!K15="","",Daten!K15)</f>
        <v>BR</v>
      </c>
      <c r="D25" s="91" t="str">
        <f>IF(Daten!L15="","",Daten!L15)</f>
        <v>MTV Eiche Schönebeck</v>
      </c>
      <c r="E25" s="95">
        <f>IF(J23=0,"",J23)</f>
        <v>23</v>
      </c>
      <c r="F25" s="96" t="s">
        <v>22</v>
      </c>
      <c r="G25" s="97">
        <f>IF(H23=0,"",H23)</f>
        <v>32</v>
      </c>
      <c r="H25" s="92"/>
      <c r="I25" s="93"/>
      <c r="J25" s="94"/>
      <c r="K25" s="95">
        <f>IF(ISERROR(VLOOKUP($A$3&amp;TEXT($A25,"00")&amp;TEXT(L$21,"00"),Samstag!$A$24:$Y$205,16,FALSE)),"",VLOOKUP($A$3&amp;TEXT($A25,"00")&amp;TEXT(L$21,"00"),Samstag!$A$24:$Y$205,16,FALSE))</f>
        <v>48</v>
      </c>
      <c r="L25" s="96" t="s">
        <v>22</v>
      </c>
      <c r="M25" s="97">
        <f>IF(ISERROR(VLOOKUP($A$3&amp;TEXT($A25,"00")&amp;TEXT(L$21,"00"),Samstag!$A$24:$Y$205,18,FALSE)),"",VLOOKUP($A$3&amp;TEXT($A25,"00")&amp;TEXT(L$21,"00"),Samstag!$A$24:$Y$205,18,FALSE))</f>
        <v>27</v>
      </c>
      <c r="N25" s="95">
        <f>IF(ISERROR(VLOOKUP($A$3&amp;TEXT($A25,"00")&amp;TEXT(O$21,"00"),Samstag!$A$24:$Y$205,16,FALSE)),"",VLOOKUP($A$3&amp;TEXT($A25,"00")&amp;TEXT(O$21,"00"),Samstag!$A$24:$Y$205,16,FALSE))</f>
        <v>30</v>
      </c>
      <c r="O25" s="96" t="s">
        <v>22</v>
      </c>
      <c r="P25" s="97">
        <f>IF(ISERROR(VLOOKUP($A$3&amp;TEXT($A25,"00")&amp;TEXT(O$21,"00"),Samstag!$A$24:$Y$205,18,FALSE)),"",VLOOKUP($A$3&amp;TEXT($A25,"00")&amp;TEXT(O$21,"00"),Samstag!$A$24:$Y$205,18,FALSE))</f>
        <v>33</v>
      </c>
      <c r="Q25" s="95">
        <f>IF(ISERROR(VLOOKUP($A$3&amp;TEXT($A25,"00")&amp;TEXT(R$21,"00"),Samstag!$A$24:$Y$205,16,FALSE)),"",VLOOKUP($A$3&amp;TEXT($A25,"00")&amp;TEXT(R$21,"00"),Samstag!$A$24:$Y$205,16,FALSE))</f>
        <v>28</v>
      </c>
      <c r="R25" s="96" t="s">
        <v>22</v>
      </c>
      <c r="S25" s="97">
        <f>IF(ISERROR(VLOOKUP($A$3&amp;TEXT($A25,"00")&amp;TEXT(R$21,"00"),Samstag!$A$24:$Y$205,18,FALSE)),"",VLOOKUP($A$3&amp;TEXT($A25,"00")&amp;TEXT(R$21,"00"),Samstag!$A$24:$Y$205,18,FALSE))</f>
        <v>32</v>
      </c>
      <c r="T25" s="98">
        <f>IF(Y26="","",SUM(E25,H25,K25,N25,Q25))</f>
        <v>129</v>
      </c>
      <c r="U25" s="96" t="s">
        <v>22</v>
      </c>
      <c r="V25" s="99">
        <f>IF(Y26="","",SUM(G25,J25,M25,P25,S25))</f>
        <v>124</v>
      </c>
      <c r="W25" s="112">
        <f>IF(Y25="","",RANK(X26,($X$24,$X$26,$X$28,$X$30,$X$32),0))</f>
        <v>3</v>
      </c>
      <c r="Y25" s="101" t="s">
        <v>197</v>
      </c>
      <c r="AB25" s="3">
        <v>2</v>
      </c>
      <c r="AC25" s="3" t="str">
        <f>IF(W25="","",IF($W$23=2,$D$23,IF($W$25=2,$D$25,IF($W$27=2,$D$27,IF($W$29=2,$D$29,IF($W$31=2,$D$31,0))))))</f>
        <v>TV Kierdorf 1962</v>
      </c>
    </row>
    <row r="26" spans="3:25" ht="10.5" customHeight="1">
      <c r="C26" s="137"/>
      <c r="D26" s="138"/>
      <c r="E26" s="108">
        <f>IF(E25="","",IF(E25&gt;G25,2,IF(E25&lt;G25,0,1)))</f>
        <v>0</v>
      </c>
      <c r="F26" s="52" t="s">
        <v>23</v>
      </c>
      <c r="G26" s="109">
        <f>IF(G25="","",IF(G25&gt;E25,2,IF(G25&lt;E25,0,1)))</f>
        <v>2</v>
      </c>
      <c r="H26" s="105"/>
      <c r="I26" s="106"/>
      <c r="J26" s="107"/>
      <c r="K26" s="108">
        <f>IF(K25=0,"",IF(K25&gt;M25,2,IF(K25&lt;M25,0,1)))</f>
        <v>2</v>
      </c>
      <c r="L26" s="52" t="s">
        <v>23</v>
      </c>
      <c r="M26" s="109">
        <f>IF(M25=0,"",IF(M25&gt;K25,2,IF(M25&lt;K25,0,1)))</f>
        <v>0</v>
      </c>
      <c r="N26" s="108">
        <f>IF(N25=0,"",IF(N25&gt;P25,2,IF(N25&lt;P25,0,1)))</f>
        <v>0</v>
      </c>
      <c r="O26" s="52" t="s">
        <v>23</v>
      </c>
      <c r="P26" s="109">
        <f>IF(P25=0,"",IF(P25&gt;N25,2,IF(P25&lt;N25,0,1)))</f>
        <v>2</v>
      </c>
      <c r="Q26" s="108">
        <f>IF(Q25=0,"",IF(Q25&gt;S25,2,IF(Q25&lt;S25,0,1)))</f>
        <v>0</v>
      </c>
      <c r="R26" s="52" t="s">
        <v>23</v>
      </c>
      <c r="S26" s="109">
        <f>IF(S25=0,"",IF(S25&gt;Q25,2,IF(S25&lt;Q25,0,1)))</f>
        <v>2</v>
      </c>
      <c r="T26" s="108">
        <f>IF(Y26="","",SUM(E26,H26,K26,N26,Q26))</f>
        <v>2</v>
      </c>
      <c r="U26" s="52" t="s">
        <v>23</v>
      </c>
      <c r="V26" s="109">
        <f>IF(Y26="","",SUM(G26,J26,M26,P26,S26))</f>
        <v>6</v>
      </c>
      <c r="W26" s="110"/>
      <c r="X26" s="111">
        <f>+(T26-V26)+T25/V25+T26</f>
        <v>-0.959677419354839</v>
      </c>
      <c r="Y26" s="101" t="s">
        <v>197</v>
      </c>
    </row>
    <row r="27" spans="1:29" ht="15" customHeight="1">
      <c r="A27" s="33">
        <v>13</v>
      </c>
      <c r="C27" s="90" t="str">
        <f>IF(Daten!K16="","",Daten!K16)</f>
        <v>SW</v>
      </c>
      <c r="D27" s="91" t="str">
        <f>IF(Daten!L16="","",Daten!L16)</f>
        <v>TSV Wuchzenhofen</v>
      </c>
      <c r="E27" s="98">
        <f>IF(M23=0,"",M23)</f>
        <v>38</v>
      </c>
      <c r="F27" s="96" t="s">
        <v>22</v>
      </c>
      <c r="G27" s="99">
        <f>IF(K23=0,"",K23)</f>
        <v>36</v>
      </c>
      <c r="H27" s="95">
        <f>IF(M25=0,"",M25)</f>
        <v>27</v>
      </c>
      <c r="I27" s="96" t="s">
        <v>22</v>
      </c>
      <c r="J27" s="97">
        <f>IF(K25=0,"",K25)</f>
        <v>48</v>
      </c>
      <c r="K27" s="92"/>
      <c r="L27" s="93"/>
      <c r="M27" s="94"/>
      <c r="N27" s="95">
        <f>IF(ISERROR(VLOOKUP($A$3&amp;TEXT($A27,"00")&amp;TEXT(O$21,"00"),Samstag!$A$24:$Y$205,16,FALSE)),"",VLOOKUP($A$3&amp;TEXT($A27,"00")&amp;TEXT(O$21,"00"),Samstag!$A$24:$Y$205,16,FALSE))</f>
        <v>40</v>
      </c>
      <c r="O27" s="96" t="s">
        <v>22</v>
      </c>
      <c r="P27" s="97">
        <f>IF(ISERROR(VLOOKUP($A$3&amp;TEXT($A27,"00")&amp;TEXT(O$21,"00"),Samstag!$A$24:$Y$205,18,FALSE)),"",VLOOKUP($A$3&amp;TEXT($A27,"00")&amp;TEXT(O$21,"00"),Samstag!$A$24:$Y$205,18,FALSE))</f>
        <v>44</v>
      </c>
      <c r="Q27" s="95">
        <f>IF(ISERROR(VLOOKUP($A$3&amp;TEXT($A27,"00")&amp;TEXT(R$21,"00"),Samstag!$A$24:$Y$205,16,FALSE)),"",VLOOKUP($A$3&amp;TEXT($A27,"00")&amp;TEXT(R$21,"00"),Samstag!$A$24:$Y$205,16,FALSE))</f>
        <v>33</v>
      </c>
      <c r="R27" s="96" t="s">
        <v>22</v>
      </c>
      <c r="S27" s="97">
        <f>IF(ISERROR(VLOOKUP($A$3&amp;TEXT($A27,"00")&amp;TEXT(R$21,"00"),Samstag!$A$24:$Y$205,18,FALSE)),"",VLOOKUP($A$3&amp;TEXT($A27,"00")&amp;TEXT(R$21,"00"),Samstag!$A$24:$Y$205,18,FALSE))</f>
        <v>36</v>
      </c>
      <c r="T27" s="98">
        <f>IF(Y28="","",SUM(E27,H27,K27,N27,Q27))</f>
        <v>138</v>
      </c>
      <c r="U27" s="96" t="s">
        <v>22</v>
      </c>
      <c r="V27" s="99">
        <f>IF(Y28="","",SUM(G27,J27,M27,P27,S27))</f>
        <v>164</v>
      </c>
      <c r="W27" s="112">
        <v>4</v>
      </c>
      <c r="Y27" s="101" t="s">
        <v>197</v>
      </c>
      <c r="AB27" s="3">
        <v>3</v>
      </c>
      <c r="AC27" s="3" t="str">
        <f>IF(W27="","",IF($W$23=3,$D$23,IF($W$25=3,$D$25,IF($W$27=3,$D$27,IF($W$29=3,$D$29,IF($W$31=3,$D$31,0))))))</f>
        <v>MTV Eiche Schönebeck</v>
      </c>
    </row>
    <row r="28" spans="3:25" ht="10.5" customHeight="1">
      <c r="C28" s="139"/>
      <c r="D28" s="140"/>
      <c r="E28" s="108">
        <f>IF(E27="","",IF(E27&gt;G27,2,IF(E27&lt;G27,0,1)))</f>
        <v>2</v>
      </c>
      <c r="F28" s="52" t="s">
        <v>23</v>
      </c>
      <c r="G28" s="109">
        <f>IF(G27="","",IF(G27&gt;E27,2,IF(G27&lt;E27,0,1)))</f>
        <v>0</v>
      </c>
      <c r="H28" s="108">
        <f>IF(H27="","",IF(H27&gt;J27,2,IF(H27&lt;J27,0,1)))</f>
        <v>0</v>
      </c>
      <c r="I28" s="52" t="s">
        <v>23</v>
      </c>
      <c r="J28" s="109">
        <f>IF(J27="","",IF(J27&gt;H27,2,IF(J27&lt;H27,0,1)))</f>
        <v>2</v>
      </c>
      <c r="K28" s="105"/>
      <c r="L28" s="106"/>
      <c r="M28" s="107"/>
      <c r="N28" s="108">
        <f>IF(N27=0,"",IF(N27&gt;P27,2,IF(N27&lt;P27,0,1)))</f>
        <v>0</v>
      </c>
      <c r="O28" s="52" t="s">
        <v>23</v>
      </c>
      <c r="P28" s="109">
        <f>IF(P27=0,"",IF(P27&gt;N27,2,IF(P27&lt;N27,0,1)))</f>
        <v>2</v>
      </c>
      <c r="Q28" s="108">
        <f>IF(Q27=0,"",IF(Q27&gt;S27,2,IF(Q27&lt;S27,0,1)))</f>
        <v>0</v>
      </c>
      <c r="R28" s="52" t="s">
        <v>23</v>
      </c>
      <c r="S28" s="109">
        <f>IF(S27=0,"",IF(S27&gt;Q27,2,IF(S27&lt;Q27,0,1)))</f>
        <v>2</v>
      </c>
      <c r="T28" s="108">
        <f>IF(Y28="","",SUM(E28,H28,K28,N28,Q28))</f>
        <v>2</v>
      </c>
      <c r="U28" s="52" t="s">
        <v>23</v>
      </c>
      <c r="V28" s="109">
        <f>IF(Y28="","",SUM(G28,J28,M28,P28,S28))</f>
        <v>6</v>
      </c>
      <c r="W28" s="110"/>
      <c r="X28" s="111">
        <f>+(T28-V28)+T27/V27+T28</f>
        <v>-1.1585365853658538</v>
      </c>
      <c r="Y28" s="101" t="s">
        <v>197</v>
      </c>
    </row>
    <row r="29" spans="1:29" ht="15" customHeight="1">
      <c r="A29" s="33">
        <v>14</v>
      </c>
      <c r="C29" s="90" t="str">
        <f>IF(Daten!K17="","",Daten!K17)</f>
        <v>PF</v>
      </c>
      <c r="D29" s="91" t="str">
        <f>IF(Daten!L17="","",Daten!L17)</f>
        <v>TV Rieschweiler</v>
      </c>
      <c r="E29" s="98">
        <f>IF(P23=0,"",P23)</f>
        <v>33</v>
      </c>
      <c r="F29" s="96" t="s">
        <v>22</v>
      </c>
      <c r="G29" s="99">
        <f>IF(N23=0,"",N23)</f>
        <v>32</v>
      </c>
      <c r="H29" s="98">
        <f>IF(P25=0,"",P25)</f>
        <v>33</v>
      </c>
      <c r="I29" s="96" t="s">
        <v>22</v>
      </c>
      <c r="J29" s="99">
        <f>IF(N25=0,"",N25)</f>
        <v>30</v>
      </c>
      <c r="K29" s="95">
        <f>IF(P27=0,"",P27)</f>
        <v>44</v>
      </c>
      <c r="L29" s="96" t="s">
        <v>22</v>
      </c>
      <c r="M29" s="97">
        <f>IF(N27=0,"",N27)</f>
        <v>40</v>
      </c>
      <c r="N29" s="92"/>
      <c r="O29" s="93"/>
      <c r="P29" s="94"/>
      <c r="Q29" s="95">
        <f>IF(ISERROR(VLOOKUP($A$3&amp;TEXT($A29,"00")&amp;TEXT(R$21,"00"),Samstag!$A$24:$Y$205,16,FALSE)),"",VLOOKUP($A$3&amp;TEXT($A29,"00")&amp;TEXT(R$21,"00"),Samstag!$A$24:$Y$205,16,FALSE))</f>
        <v>39</v>
      </c>
      <c r="R29" s="96" t="s">
        <v>22</v>
      </c>
      <c r="S29" s="97">
        <f>IF(ISERROR(VLOOKUP($A$3&amp;TEXT($A29,"00")&amp;TEXT(R$21,"00"),Samstag!$A$24:$Y$205,18,FALSE)),"",VLOOKUP($A$3&amp;TEXT($A29,"00")&amp;TEXT(R$21,"00"),Samstag!$A$24:$Y$205,18,FALSE))</f>
        <v>33</v>
      </c>
      <c r="T29" s="98">
        <f>IF(Y30="","",SUM(E29,H29,K29,N29,Q29))</f>
        <v>149</v>
      </c>
      <c r="U29" s="96" t="s">
        <v>22</v>
      </c>
      <c r="V29" s="99">
        <f>IF(Y30="","",SUM(G29,J29,M29,P29,S29))</f>
        <v>135</v>
      </c>
      <c r="W29" s="112">
        <f>IF(Y29="","",RANK(X30,($X$24,$X$26,$X$28,$X$30,$X$32),0))</f>
        <v>1</v>
      </c>
      <c r="Y29" s="101" t="s">
        <v>197</v>
      </c>
      <c r="AB29" s="3">
        <v>4</v>
      </c>
      <c r="AC29" s="3" t="str">
        <f>IF(W29="","",IF($W$23=4,$D$23,IF($W$25=4,$D$25,IF($W$27=4,$D$27,IF($W$29=4,$D$29,IF($W$31=4,$D$31,0))))))</f>
        <v>TSV Wuchzenhofen</v>
      </c>
    </row>
    <row r="30" spans="3:25" ht="10.5" customHeight="1">
      <c r="C30" s="137"/>
      <c r="D30" s="140"/>
      <c r="E30" s="108">
        <f>IF(E29="","",IF(E29&gt;G29,2,IF(E29&lt;G29,0,1)))</f>
        <v>2</v>
      </c>
      <c r="F30" s="52" t="s">
        <v>23</v>
      </c>
      <c r="G30" s="109">
        <f>IF(G29="","",IF(G29&gt;E29,2,IF(G29&lt;E29,0,1)))</f>
        <v>0</v>
      </c>
      <c r="H30" s="108">
        <f>IF(H29="","",IF(H29&gt;J29,2,IF(H29&lt;J29,0,1)))</f>
        <v>2</v>
      </c>
      <c r="I30" s="52" t="s">
        <v>23</v>
      </c>
      <c r="J30" s="109">
        <f>IF(J29="","",IF(J29&gt;H29,2,IF(J29&lt;H29,0,1)))</f>
        <v>0</v>
      </c>
      <c r="K30" s="108">
        <f>IF(K29="","",IF(K29&gt;M29,2,IF(K29&lt;M29,0,1)))</f>
        <v>2</v>
      </c>
      <c r="L30" s="52" t="s">
        <v>23</v>
      </c>
      <c r="M30" s="109">
        <f>IF(M29="","",IF(M29&gt;K29,2,IF(M29&lt;K29,0,1)))</f>
        <v>0</v>
      </c>
      <c r="N30" s="105"/>
      <c r="O30" s="106"/>
      <c r="P30" s="107"/>
      <c r="Q30" s="108">
        <f>IF(Q29=0,"",IF(Q29&gt;S29,2,IF(Q29&lt;S29,0,1)))</f>
        <v>2</v>
      </c>
      <c r="R30" s="52" t="s">
        <v>23</v>
      </c>
      <c r="S30" s="109">
        <f>IF(S29=0,"",IF(S29&gt;Q29,2,IF(S29&lt;Q29,0,1)))</f>
        <v>0</v>
      </c>
      <c r="T30" s="108">
        <f>IF(Y30="","",SUM(E30,H30,K30,N30,Q30))</f>
        <v>8</v>
      </c>
      <c r="U30" s="52" t="s">
        <v>23</v>
      </c>
      <c r="V30" s="109">
        <f>IF(Y30="","",SUM(G30,J30,M30,P30,S30))</f>
        <v>0</v>
      </c>
      <c r="W30" s="110"/>
      <c r="X30" s="111">
        <f>+(T30-V30)+T29/V29+T30</f>
        <v>17.103703703703705</v>
      </c>
      <c r="Y30" s="101" t="s">
        <v>197</v>
      </c>
    </row>
    <row r="31" spans="1:29" ht="15" customHeight="1">
      <c r="A31" s="33">
        <v>15</v>
      </c>
      <c r="C31" s="90" t="str">
        <f>IF(Daten!K18="","",Daten!K18)</f>
        <v>RL</v>
      </c>
      <c r="D31" s="91" t="str">
        <f>IF(Daten!L18="","",Daten!L18)</f>
        <v>TV Kierdorf 1962</v>
      </c>
      <c r="E31" s="98">
        <f>IF(S23=0,"",S23)</f>
        <v>36</v>
      </c>
      <c r="F31" s="96" t="s">
        <v>22</v>
      </c>
      <c r="G31" s="99">
        <f>IF(Q23=0,"",Q23)</f>
        <v>28</v>
      </c>
      <c r="H31" s="98">
        <f>IF(S25=0,"",S25)</f>
        <v>32</v>
      </c>
      <c r="I31" s="96" t="s">
        <v>22</v>
      </c>
      <c r="J31" s="99">
        <f>IF(Q25=0,"",Q25)</f>
        <v>28</v>
      </c>
      <c r="K31" s="98">
        <f>IF(S27=0,"",S27)</f>
        <v>36</v>
      </c>
      <c r="L31" s="96" t="s">
        <v>22</v>
      </c>
      <c r="M31" s="99">
        <f>IF(Q27=0,"",Q27)</f>
        <v>33</v>
      </c>
      <c r="N31" s="95">
        <f>IF(S29=0,"",S29)</f>
        <v>33</v>
      </c>
      <c r="O31" s="96" t="s">
        <v>22</v>
      </c>
      <c r="P31" s="97">
        <f>IF(Q29=0,"",Q29)</f>
        <v>39</v>
      </c>
      <c r="Q31" s="92"/>
      <c r="R31" s="93"/>
      <c r="S31" s="94"/>
      <c r="T31" s="98">
        <f>IF(Y32="","",SUM(E31,H31,K31,N31,Q31))</f>
        <v>137</v>
      </c>
      <c r="U31" s="96" t="s">
        <v>22</v>
      </c>
      <c r="V31" s="99">
        <f>IF(Y32="","",SUM(G31,J31,M31,P31,S31))</f>
        <v>128</v>
      </c>
      <c r="W31" s="112">
        <f>IF(Y31="","",RANK(X32,($X$24,$X$26,$X$28,$X$30,$X$32),0))</f>
        <v>2</v>
      </c>
      <c r="Y31" s="101" t="s">
        <v>197</v>
      </c>
      <c r="AB31" s="3">
        <v>5</v>
      </c>
      <c r="AC31" s="3" t="str">
        <f>IF(W31="","",IF($W$23=5,$D$23,IF($W$25=5,$D$25,IF($W$27=5,$D$27,IF($W$29=5,$D$29,IF($W$31=5,$D$31,0))))))</f>
        <v>SV Werder Bremen</v>
      </c>
    </row>
    <row r="32" spans="3:25" ht="10.5" customHeight="1">
      <c r="C32" s="139"/>
      <c r="D32" s="140"/>
      <c r="E32" s="108">
        <f>IF(E31="","",IF(E31&gt;G31,2,IF(E31&lt;G31,0,1)))</f>
        <v>2</v>
      </c>
      <c r="F32" s="52" t="s">
        <v>23</v>
      </c>
      <c r="G32" s="109">
        <f>IF(G31="","",IF(G31&gt;E31,2,IF(G31&lt;E31,0,1)))</f>
        <v>0</v>
      </c>
      <c r="H32" s="108">
        <f>IF(H31="","",IF(H31&gt;J31,2,IF(H31&lt;J31,0,1)))</f>
        <v>2</v>
      </c>
      <c r="I32" s="52" t="s">
        <v>23</v>
      </c>
      <c r="J32" s="109">
        <f>IF(J31="","",IF(J31&gt;H31,2,IF(J31&lt;H31,0,1)))</f>
        <v>0</v>
      </c>
      <c r="K32" s="108">
        <f>IF(K31="","",IF(K31&gt;M31,2,IF(K31&lt;M31,0,1)))</f>
        <v>2</v>
      </c>
      <c r="L32" s="52" t="s">
        <v>23</v>
      </c>
      <c r="M32" s="109">
        <f>IF(M31="","",IF(M31&gt;K31,2,IF(M31&lt;K31,0,1)))</f>
        <v>0</v>
      </c>
      <c r="N32" s="108">
        <f>IF(N31="","",IF(N31&gt;P31,2,IF(N31&lt;P31,0,1)))</f>
        <v>0</v>
      </c>
      <c r="O32" s="52" t="s">
        <v>23</v>
      </c>
      <c r="P32" s="109">
        <f>IF(P31="","",IF(P31&gt;N31,2,IF(P31&lt;N31,0,1)))</f>
        <v>2</v>
      </c>
      <c r="Q32" s="105"/>
      <c r="R32" s="106"/>
      <c r="S32" s="107"/>
      <c r="T32" s="108">
        <f>IF(Y32="","",SUM(E32,H32,K32,N32,Q32))</f>
        <v>6</v>
      </c>
      <c r="U32" s="52" t="s">
        <v>23</v>
      </c>
      <c r="V32" s="109">
        <f>IF(Y32="","",SUM(G32,J32,M32,P32,S32))</f>
        <v>2</v>
      </c>
      <c r="W32" s="110"/>
      <c r="X32" s="111">
        <f>+(T32-V32)+T31/V31+T32</f>
        <v>11.0703125</v>
      </c>
      <c r="Y32" s="101" t="s">
        <v>197</v>
      </c>
    </row>
    <row r="33" spans="3:25" ht="9.75" customHeight="1">
      <c r="C33" s="115"/>
      <c r="D33" s="115"/>
      <c r="E33" s="116"/>
      <c r="F33" s="96"/>
      <c r="G33" s="117"/>
      <c r="H33" s="116"/>
      <c r="I33" s="96"/>
      <c r="J33" s="117"/>
      <c r="K33" s="116"/>
      <c r="L33" s="96"/>
      <c r="M33" s="117"/>
      <c r="N33" s="116"/>
      <c r="O33" s="96"/>
      <c r="P33" s="117"/>
      <c r="Q33" s="118"/>
      <c r="R33" s="118"/>
      <c r="S33" s="118"/>
      <c r="T33" s="116"/>
      <c r="U33" s="96"/>
      <c r="V33" s="117"/>
      <c r="W33" s="119"/>
      <c r="X33" s="111"/>
      <c r="Y33" s="101"/>
    </row>
    <row r="34" spans="3:25" ht="9.75" customHeight="1" outlineLevel="1">
      <c r="C34" s="120" t="s">
        <v>24</v>
      </c>
      <c r="D34" s="121" t="str">
        <f>+D23</f>
        <v>SV Werder Bremen</v>
      </c>
      <c r="E34" s="122"/>
      <c r="F34" s="123" t="s">
        <v>361</v>
      </c>
      <c r="G34" s="124"/>
      <c r="H34" s="125">
        <v>13</v>
      </c>
      <c r="I34" s="126" t="s">
        <v>22</v>
      </c>
      <c r="J34" s="127">
        <v>16</v>
      </c>
      <c r="K34" s="125"/>
      <c r="L34" s="126" t="s">
        <v>22</v>
      </c>
      <c r="M34" s="127"/>
      <c r="N34" s="125"/>
      <c r="O34" s="126" t="s">
        <v>22</v>
      </c>
      <c r="P34" s="127"/>
      <c r="Q34" s="128"/>
      <c r="R34" s="126" t="s">
        <v>22</v>
      </c>
      <c r="S34" s="129"/>
      <c r="T34" s="56"/>
      <c r="U34" s="130"/>
      <c r="V34" s="131"/>
      <c r="W34" s="132"/>
      <c r="X34" s="111"/>
      <c r="Y34" s="101"/>
    </row>
    <row r="35" spans="3:25" ht="9.75" customHeight="1" outlineLevel="1">
      <c r="C35" s="133"/>
      <c r="D35" s="121" t="str">
        <f>+D25</f>
        <v>MTV Eiche Schönebeck</v>
      </c>
      <c r="E35" s="125">
        <f>IF(J34="","",J34)</f>
        <v>16</v>
      </c>
      <c r="F35" s="126" t="s">
        <v>22</v>
      </c>
      <c r="G35" s="127">
        <f>IF(H34="","",H34)</f>
        <v>13</v>
      </c>
      <c r="H35" s="122"/>
      <c r="I35" s="123">
        <v>1</v>
      </c>
      <c r="J35" s="124"/>
      <c r="K35" s="125">
        <v>17</v>
      </c>
      <c r="L35" s="126" t="s">
        <v>22</v>
      </c>
      <c r="M35" s="127">
        <v>15</v>
      </c>
      <c r="N35" s="125"/>
      <c r="O35" s="126" t="s">
        <v>22</v>
      </c>
      <c r="P35" s="127"/>
      <c r="Q35" s="128"/>
      <c r="R35" s="126" t="s">
        <v>22</v>
      </c>
      <c r="S35" s="129"/>
      <c r="T35" s="56"/>
      <c r="U35" s="130"/>
      <c r="V35" s="131"/>
      <c r="W35" s="132"/>
      <c r="X35" s="111"/>
      <c r="Y35" s="101"/>
    </row>
    <row r="36" spans="3:25" ht="9.75" customHeight="1" outlineLevel="1">
      <c r="C36" s="133"/>
      <c r="D36" s="121" t="str">
        <f>+D27</f>
        <v>TSV Wuchzenhofen</v>
      </c>
      <c r="E36" s="125">
        <f>IF(M34="","",M34)</f>
      </c>
      <c r="F36" s="126" t="s">
        <v>22</v>
      </c>
      <c r="G36" s="127">
        <f>IF(K34="","",K34)</f>
      </c>
      <c r="H36" s="125">
        <f>IF(M35="","",M35)</f>
        <v>15</v>
      </c>
      <c r="I36" s="126" t="s">
        <v>22</v>
      </c>
      <c r="J36" s="127">
        <f>IF(K35="","",K35)</f>
        <v>17</v>
      </c>
      <c r="K36" s="122"/>
      <c r="L36" s="123">
        <v>2</v>
      </c>
      <c r="M36" s="124"/>
      <c r="N36" s="125"/>
      <c r="O36" s="126" t="s">
        <v>22</v>
      </c>
      <c r="P36" s="127"/>
      <c r="Q36" s="128"/>
      <c r="R36" s="126" t="s">
        <v>22</v>
      </c>
      <c r="S36" s="129"/>
      <c r="T36" s="56"/>
      <c r="U36" s="130"/>
      <c r="V36" s="131"/>
      <c r="W36" s="132"/>
      <c r="X36" s="111"/>
      <c r="Y36" s="101"/>
    </row>
    <row r="37" spans="3:25" ht="9.75" customHeight="1" outlineLevel="1">
      <c r="C37" s="133"/>
      <c r="D37" s="121" t="str">
        <f>+D29</f>
        <v>TV Rieschweiler</v>
      </c>
      <c r="E37" s="125">
        <f>IF(P34="","",P34)</f>
      </c>
      <c r="F37" s="126" t="s">
        <v>22</v>
      </c>
      <c r="G37" s="127">
        <f>IF(N34="","",N34)</f>
      </c>
      <c r="H37" s="125">
        <f>IF(P35="","",P35)</f>
      </c>
      <c r="I37" s="126" t="s">
        <v>22</v>
      </c>
      <c r="J37" s="127">
        <f>IF(N35="","",N35)</f>
      </c>
      <c r="K37" s="125">
        <f>IF(P36="","",P36)</f>
      </c>
      <c r="L37" s="126" t="s">
        <v>22</v>
      </c>
      <c r="M37" s="127">
        <f>IF(N36="","",N36)</f>
      </c>
      <c r="N37" s="122"/>
      <c r="O37" s="123"/>
      <c r="P37" s="124"/>
      <c r="Q37" s="128"/>
      <c r="R37" s="126" t="s">
        <v>22</v>
      </c>
      <c r="S37" s="129"/>
      <c r="T37" s="56"/>
      <c r="U37" s="130"/>
      <c r="V37" s="131"/>
      <c r="W37" s="132"/>
      <c r="X37" s="111"/>
      <c r="Y37" s="101"/>
    </row>
    <row r="38" spans="4:19" ht="9.75" customHeight="1" outlineLevel="1">
      <c r="D38" s="121" t="str">
        <f>+D31</f>
        <v>TV Kierdorf 1962</v>
      </c>
      <c r="E38" s="125">
        <f>IF(S34="","",S34)</f>
      </c>
      <c r="F38" s="126" t="s">
        <v>22</v>
      </c>
      <c r="G38" s="127">
        <f>IF(Q34="","",Q34)</f>
      </c>
      <c r="H38" s="125">
        <f>IF(S35="","",S35)</f>
      </c>
      <c r="I38" s="126" t="s">
        <v>22</v>
      </c>
      <c r="J38" s="127">
        <f>IF(Q35="","",Q35)</f>
      </c>
      <c r="K38" s="125">
        <f>IF(S36="","",S36)</f>
      </c>
      <c r="L38" s="126" t="s">
        <v>22</v>
      </c>
      <c r="M38" s="127">
        <f>IF(Q36="","",Q36)</f>
      </c>
      <c r="N38" s="125">
        <f>IF(S37="","",S37)</f>
      </c>
      <c r="O38" s="126" t="s">
        <v>22</v>
      </c>
      <c r="P38" s="127">
        <f>IF(Q37="","",Q37)</f>
      </c>
      <c r="Q38" s="122"/>
      <c r="R38" s="123"/>
      <c r="S38" s="124"/>
    </row>
    <row r="39" ht="18" customHeight="1">
      <c r="C39" s="3" t="s">
        <v>157</v>
      </c>
    </row>
    <row r="40" spans="1:16" ht="17.25" customHeight="1">
      <c r="A40" s="33" t="s">
        <v>198</v>
      </c>
      <c r="B40" s="3" t="s">
        <v>25</v>
      </c>
      <c r="C40" s="141" t="str">
        <f>"4."&amp;+$D$4&amp;"  5."&amp;+$D$22</f>
        <v>4.Gruppe G  5.Gruppe H</v>
      </c>
      <c r="D40" s="142" t="str">
        <f>IF($Y$31="","",(IF(ISERROR(VLOOKUP($A$3&amp;TEXT($A40,"00"),Sonntag!$A$24:$X$205,8,FALSE)),"",VLOOKUP($A$3&amp;TEXT($A40,"00"),Sonntag!$A$24:$X$205,8,FALSE)))&amp;" : "&amp;IF($Y$31="","",IF(ISERROR(VLOOKUP($A$3&amp;TEXT($A40,"00"),Sonntag!$A$24:$X$205,11,FALSE)),"",VLOOKUP($A$3&amp;TEXT($A40,"00"),Sonntag!$A$24:$X$205,11,FALSE))))</f>
        <v>TV Jahn Bad Lippspringe : SV Werder Bremen</v>
      </c>
      <c r="E40" s="143"/>
      <c r="F40" s="143"/>
      <c r="G40" s="143"/>
      <c r="H40" s="143"/>
      <c r="I40" s="144"/>
      <c r="J40" s="136"/>
      <c r="K40" s="145">
        <f>IF(ISERROR(VLOOKUP($A$3&amp;TEXT($A40,"00"),Sonntag!$A$24:$X$205,16,FALSE)),"",VLOOKUP($A$3&amp;TEXT($A40,"00"),Sonntag!$A$24:$X$205,16,FALSE))</f>
        <v>49</v>
      </c>
      <c r="L40" s="146" t="s">
        <v>22</v>
      </c>
      <c r="M40" s="147">
        <f>IF(ISERROR(VLOOKUP($A$3&amp;TEXT($A40,"00"),Sonntag!$A$24:$X$205,18,FALSE)),"",VLOOKUP($A$3&amp;TEXT($A40,"00"),Sonntag!$A$24:$X$205,18,FALSE))</f>
        <v>47</v>
      </c>
      <c r="N40" s="148"/>
      <c r="O40" s="149"/>
      <c r="P40" s="71"/>
    </row>
    <row r="41" spans="2:14" ht="4.5" customHeight="1">
      <c r="B41" s="132"/>
      <c r="C41" s="57"/>
      <c r="D41" s="132"/>
      <c r="E41" s="150"/>
      <c r="F41" s="151"/>
      <c r="G41" s="150"/>
      <c r="H41" s="150"/>
      <c r="I41" s="150"/>
      <c r="J41" s="150"/>
      <c r="K41" s="152"/>
      <c r="M41" s="153"/>
      <c r="N41" s="33"/>
    </row>
    <row r="42" spans="1:15" ht="17.25" customHeight="1">
      <c r="A42" s="33" t="s">
        <v>199</v>
      </c>
      <c r="B42" s="3" t="s">
        <v>26</v>
      </c>
      <c r="C42" s="141" t="str">
        <f>"4."&amp;+$D$22&amp;"  5."&amp;+$D$4</f>
        <v>4.Gruppe H  5.Gruppe G</v>
      </c>
      <c r="D42" s="142" t="str">
        <f>IF($Y$31="","",(IF(ISERROR(VLOOKUP($A$3&amp;TEXT($A42,"00"),Sonntag!$A$24:$X$205,8,FALSE)),"",VLOOKUP($A$3&amp;TEXT($A42,"00"),Sonntag!$A$24:$X$205,8,FALSE)))&amp;" : "&amp;IF($Y$31="","",IF(ISERROR(VLOOKUP($A$3&amp;TEXT($A42,"00"),Sonntag!$A$24:$X$205,11,FALSE)),"",VLOOKUP($A$3&amp;TEXT($A42,"00"),Sonntag!$A$24:$X$205,11,FALSE))))</f>
        <v>TSV Wuchzenhofen : VfL Waiblingen</v>
      </c>
      <c r="E42" s="154"/>
      <c r="F42" s="154"/>
      <c r="G42" s="154"/>
      <c r="H42" s="154"/>
      <c r="I42" s="154"/>
      <c r="J42" s="87"/>
      <c r="K42" s="145">
        <f>IF(ISERROR(VLOOKUP($A$3&amp;TEXT($A42,"00"),Sonntag!$A$24:$X$205,16,FALSE)),"",VLOOKUP($A$3&amp;TEXT($A42,"00"),Sonntag!$A$24:$X$205,16,FALSE))</f>
        <v>41</v>
      </c>
      <c r="L42" s="146" t="s">
        <v>22</v>
      </c>
      <c r="M42" s="147">
        <f>IF(ISERROR(VLOOKUP($A$3&amp;TEXT($A42,"00"),Sonntag!$A$24:$X$205,18,FALSE)),"",VLOOKUP($A$3&amp;TEXT($A42,"00"),Sonntag!$A$24:$X$205,18,FALSE))</f>
        <v>32</v>
      </c>
      <c r="N42" s="148"/>
      <c r="O42" s="149"/>
    </row>
    <row r="43" spans="3:23" ht="18" customHeight="1">
      <c r="C43" s="150" t="s">
        <v>158</v>
      </c>
      <c r="D43" s="150"/>
      <c r="E43" s="150"/>
      <c r="F43" s="151"/>
      <c r="G43" s="150"/>
      <c r="H43" s="150"/>
      <c r="I43" s="150"/>
      <c r="J43" s="150"/>
      <c r="K43" s="152"/>
      <c r="M43" s="153"/>
      <c r="N43" s="33"/>
      <c r="Q43" s="132"/>
      <c r="R43" s="132"/>
      <c r="S43" s="132"/>
      <c r="T43" s="132"/>
      <c r="U43" s="132"/>
      <c r="V43" s="132"/>
      <c r="W43" s="132"/>
    </row>
    <row r="44" spans="1:23" ht="17.25" customHeight="1">
      <c r="A44" s="33" t="s">
        <v>201</v>
      </c>
      <c r="C44" s="174" t="str">
        <f>"V."&amp;B40&amp;"/"&amp;B42&amp;"      9./10. Pl."</f>
        <v>V.a/b      9./10. Pl.</v>
      </c>
      <c r="D44" s="142" t="str">
        <f>IF($K$40=0,"",(IF(ISERROR(VLOOKUP($A$3&amp;TEXT($A44,"00"),Sonntag!$A$24:$X$205,8,FALSE)),"",VLOOKUP($A$3&amp;TEXT($A44,"00"),Sonntag!$A$24:$X$205,8,FALSE)))&amp;" : "&amp;IF(ISERROR(VLOOKUP($A$3&amp;TEXT($A44,"00"),Sonntag!$A$24:$X$205,11,FALSE)),"",VLOOKUP($A$3&amp;TEXT($A44,"00"),Sonntag!$A$24:$X$205,11,FALSE)))</f>
        <v>SV Werder Bremen : VfL Waiblingen</v>
      </c>
      <c r="E44" s="154"/>
      <c r="F44" s="154"/>
      <c r="G44" s="154"/>
      <c r="H44" s="154"/>
      <c r="I44" s="154"/>
      <c r="J44" s="87"/>
      <c r="K44" s="145">
        <f>IF(ISERROR(VLOOKUP($A$3&amp;TEXT($A44,"00"),Sonntag!$A$24:$X$205,16,FALSE)),"",VLOOKUP($A$3&amp;TEXT($A44,"00"),Sonntag!$A$24:$X$205,16,FALSE))</f>
        <v>38</v>
      </c>
      <c r="L44" s="146" t="s">
        <v>22</v>
      </c>
      <c r="M44" s="147">
        <f>IF(ISERROR(VLOOKUP($A$3&amp;TEXT($A44,"00"),Sonntag!$A$24:$X$205,18,FALSE)),"",VLOOKUP($A$3&amp;TEXT($A44,"00"),Sonntag!$A$24:$X$205,18,FALSE))</f>
        <v>34</v>
      </c>
      <c r="N44" s="33"/>
      <c r="P44" s="38" t="s">
        <v>27</v>
      </c>
      <c r="Q44" s="155"/>
      <c r="R44" s="155"/>
      <c r="S44" s="155"/>
      <c r="T44" s="155"/>
      <c r="U44" s="155"/>
      <c r="V44" s="155"/>
      <c r="W44" s="155"/>
    </row>
    <row r="45" spans="3:23" ht="4.5" customHeight="1">
      <c r="C45" s="156"/>
      <c r="D45" s="150"/>
      <c r="E45" s="150"/>
      <c r="F45" s="150"/>
      <c r="G45" s="150"/>
      <c r="H45" s="150"/>
      <c r="I45" s="151"/>
      <c r="J45" s="150"/>
      <c r="K45" s="152"/>
      <c r="M45" s="153"/>
      <c r="N45" s="33"/>
      <c r="Q45" s="132"/>
      <c r="R45" s="132"/>
      <c r="S45" s="132"/>
      <c r="T45" s="132"/>
      <c r="U45" s="132"/>
      <c r="V45" s="132"/>
      <c r="W45" s="132"/>
    </row>
    <row r="46" spans="1:23" ht="17.25" customHeight="1">
      <c r="A46" s="33" t="s">
        <v>200</v>
      </c>
      <c r="C46" s="174" t="str">
        <f>"S."&amp;B40&amp;"/"&amp;B42&amp;"      7./8. Pl."</f>
        <v>S.a/b      7./8. Pl.</v>
      </c>
      <c r="D46" s="142" t="str">
        <f>IF($K$40=0,"",(IF(ISERROR(VLOOKUP($A$3&amp;TEXT($A46,"00"),Sonntag!$A$24:$X$205,8,FALSE)),"",VLOOKUP($A$3&amp;TEXT($A46,"00"),Sonntag!$A$24:$X$205,8,FALSE)))&amp;" : "&amp;IF($M$40="","",IF(ISERROR(VLOOKUP($A$3&amp;TEXT($A46,"00"),Sonntag!$A$24:$X$205,11,FALSE)),"",VLOOKUP($A$3&amp;TEXT($A46,"00"),Sonntag!$A$24:$X$205,11,FALSE))))</f>
        <v>TV Jahn Bad Lippspringe : TSV Wuchzenhofen</v>
      </c>
      <c r="E46" s="143"/>
      <c r="F46" s="144"/>
      <c r="G46" s="143"/>
      <c r="H46" s="143"/>
      <c r="I46" s="143"/>
      <c r="J46" s="136"/>
      <c r="K46" s="145">
        <f>IF(ISERROR(VLOOKUP($A$3&amp;TEXT($A46,"00"),Sonntag!$A$24:$X$205,16,FALSE)),"",VLOOKUP($A$3&amp;TEXT($A46,"00"),Sonntag!$A$24:$X$205,16,FALSE))</f>
        <v>32</v>
      </c>
      <c r="L46" s="146" t="s">
        <v>22</v>
      </c>
      <c r="M46" s="147">
        <f>IF(ISERROR(VLOOKUP($A$3&amp;TEXT($A46,"00"),Sonntag!$A$24:$X$205,18,FALSE)),"",VLOOKUP($A$3&amp;TEXT($A46,"00"),Sonntag!$A$24:$X$205,18,FALSE))</f>
        <v>31</v>
      </c>
      <c r="N46" s="33"/>
      <c r="P46" s="157">
        <v>1</v>
      </c>
      <c r="Q46" s="158" t="str">
        <f>IF(K60=0,""," "&amp;IF(M60&lt;K60,IF(ISERROR(VLOOKUP($A$3&amp;TEXT($A60,"00"),Sonntag!$A$24:$X$205,8,FALSE)),"",VLOOKUP($A$3&amp;TEXT($A60,"00"),Sonntag!$A$24:$X$205,8,FALSE)),IF(M60&gt;K60,IF(ISERROR(VLOOKUP($A$3&amp;TEXT($A60,"00"),Sonntag!$A$24:$X$205,11,FALSE)),"",VLOOKUP($A$3&amp;TEXT($A60,"00"),Sonntag!$A$24:$X$205,11,FALSE)))))</f>
        <v> TuS Westfalia Dortmund-Sölde</v>
      </c>
      <c r="R46" s="159"/>
      <c r="S46" s="159"/>
      <c r="T46" s="159"/>
      <c r="U46" s="159"/>
      <c r="V46" s="159"/>
      <c r="W46" s="160"/>
    </row>
    <row r="47" spans="3:23" ht="18" customHeight="1">
      <c r="C47" s="150" t="s">
        <v>28</v>
      </c>
      <c r="D47" s="150"/>
      <c r="E47" s="150"/>
      <c r="F47" s="150"/>
      <c r="G47" s="150"/>
      <c r="H47" s="150"/>
      <c r="I47" s="151"/>
      <c r="J47" s="150"/>
      <c r="K47" s="152"/>
      <c r="M47" s="153"/>
      <c r="N47" s="33"/>
      <c r="P47" s="161">
        <v>2</v>
      </c>
      <c r="Q47" s="158" t="str">
        <f>IF(K60=0,""," "&amp;IF(M60&lt;K60,IF(ISERROR(VLOOKUP($A$3&amp;TEXT($A60,"00"),Sonntag!$A$24:$X$205,11,FALSE)),"",VLOOKUP($A$3&amp;TEXT($A60,"00"),Sonntag!$A$24:$X$205,11,FALSE)),IF(M60&gt;K60,IF(ISERROR(VLOOKUP($A$3&amp;TEXT($A60,"00"),Sonntag!$A$24:$X$205,8,FALSE)),"",VLOOKUP($A$3&amp;TEXT($A60,"00"),Sonntag!$A$24:$X$205,8,FALSE)))))</f>
        <v> TV Rieschweiler</v>
      </c>
      <c r="R47" s="71"/>
      <c r="S47" s="71"/>
      <c r="T47" s="71"/>
      <c r="U47" s="71"/>
      <c r="V47" s="71"/>
      <c r="W47" s="162"/>
    </row>
    <row r="48" spans="1:23" ht="17.25" customHeight="1">
      <c r="A48" s="33" t="s">
        <v>202</v>
      </c>
      <c r="B48" s="3" t="s">
        <v>29</v>
      </c>
      <c r="C48" s="141" t="str">
        <f>"2."&amp;+$D$4&amp;"  3."&amp;+$D$22</f>
        <v>2.Gruppe G  3.Gruppe H</v>
      </c>
      <c r="D48" s="142" t="str">
        <f>IF($Y$31="","",(IF(ISERROR(VLOOKUP($A$3&amp;TEXT($A48,"00"),Sonntag!$A$24:$X$205,8,FALSE)),"",VLOOKUP($A$3&amp;TEXT($A48,"00"),Sonntag!$A$24:$X$205,8,FALSE)))&amp;" : "&amp;IF($Y$31="","",IF(ISERROR(VLOOKUP($A$3&amp;TEXT($A48,"00"),Sonntag!$A$24:$X$205,11,FALSE)),"",VLOOKUP($A$3&amp;TEXT($A48,"00"),Sonntag!$A$24:$X$205,11,FALSE))))</f>
        <v>TV Sottrum : MTV Eiche Schönebeck</v>
      </c>
      <c r="E48" s="143"/>
      <c r="F48" s="144"/>
      <c r="G48" s="143"/>
      <c r="H48" s="143"/>
      <c r="I48" s="143"/>
      <c r="J48" s="136"/>
      <c r="K48" s="145">
        <f>IF(ISERROR(VLOOKUP($A$3&amp;TEXT($A48,"00"),Sonntag!$A$24:$X$205,16,FALSE)),"",VLOOKUP($A$3&amp;TEXT($A48,"00"),Sonntag!$A$24:$X$205,16,FALSE))</f>
        <v>33</v>
      </c>
      <c r="L48" s="146" t="s">
        <v>22</v>
      </c>
      <c r="M48" s="147">
        <f>IF(ISERROR(VLOOKUP($A$3&amp;TEXT($A48,"00"),Sonntag!$A$24:$X$205,18,FALSE)),"",VLOOKUP($A$3&amp;TEXT($A48,"00"),Sonntag!$A$24:$X$205,18,FALSE))</f>
        <v>28</v>
      </c>
      <c r="N48" s="33"/>
      <c r="P48" s="161">
        <v>3</v>
      </c>
      <c r="Q48" s="163" t="str">
        <f>IF(K58=0,""," "&amp;IF(M$58&gt;K$58,IF(ISERROR(VLOOKUP($A$3&amp;TEXT($A58,"00"),Sonntag!$A$24:$X$205,11,FALSE)),"",VLOOKUP($A$3&amp;TEXT($A58,"00"),Sonntag!$A$24:$X$205,11,FALSE)),IF(M$58&lt;K$58,IF(ISERROR(VLOOKUP($A$3&amp;TEXT($A58,"00"),Sonntag!$A$24:$X$205,8,FALSE)),"",VLOOKUP($A$3&amp;TEXT($A58,"00"),Sonntag!$A$24:$X$205,8,FALSE)))))</f>
        <v> TV Kierdorf 1962</v>
      </c>
      <c r="R48" s="71"/>
      <c r="S48" s="71"/>
      <c r="T48" s="71"/>
      <c r="U48" s="71"/>
      <c r="V48" s="71"/>
      <c r="W48" s="162"/>
    </row>
    <row r="49" spans="3:23" ht="4.5" customHeight="1">
      <c r="C49" s="150"/>
      <c r="D49" s="150"/>
      <c r="E49" s="150"/>
      <c r="F49" s="150"/>
      <c r="G49" s="150"/>
      <c r="H49" s="150"/>
      <c r="I49" s="150"/>
      <c r="J49" s="150"/>
      <c r="K49" s="152"/>
      <c r="M49" s="153"/>
      <c r="N49" s="33"/>
      <c r="P49" s="161"/>
      <c r="Q49" s="71"/>
      <c r="R49" s="71"/>
      <c r="S49" s="71"/>
      <c r="T49" s="71"/>
      <c r="U49" s="71"/>
      <c r="V49" s="71"/>
      <c r="W49" s="162"/>
    </row>
    <row r="50" spans="1:23" ht="17.25" customHeight="1">
      <c r="A50" s="33" t="s">
        <v>203</v>
      </c>
      <c r="B50" s="3" t="s">
        <v>30</v>
      </c>
      <c r="C50" s="141" t="str">
        <f>"2."&amp;+$D$22&amp;"  3."&amp;+$D$4</f>
        <v>2.Gruppe H  3.Gruppe G</v>
      </c>
      <c r="D50" s="142" t="str">
        <f>IF($Y$31="","",(IF(ISERROR(VLOOKUP($A$3&amp;TEXT($A50,"00"),Sonntag!$A$24:$X$205,8,FALSE)),"",VLOOKUP($A$3&amp;TEXT($A50,"00"),Sonntag!$A$24:$X$205,8,FALSE)))&amp;" : "&amp;IF($Y$31="","",IF(ISERROR(VLOOKUP($A$3&amp;TEXT($A50,"00"),Sonntag!$A$24:$X$205,11,FALSE)),"",VLOOKUP($A$3&amp;TEXT($A50,"00"),Sonntag!$A$24:$X$205,11,FALSE))))</f>
        <v>TV Kierdorf 1962 : TuS Aschen-Strang</v>
      </c>
      <c r="E50" s="143"/>
      <c r="F50" s="143"/>
      <c r="G50" s="143"/>
      <c r="H50" s="143"/>
      <c r="I50" s="144"/>
      <c r="J50" s="136"/>
      <c r="K50" s="145">
        <f>IF(ISERROR(VLOOKUP($A$3&amp;TEXT($A50,"00"),Sonntag!$A$24:$X$205,16,FALSE)),"",VLOOKUP($A$3&amp;TEXT($A50,"00"),Sonntag!$A$24:$X$205,16,FALSE))</f>
        <v>38</v>
      </c>
      <c r="L50" s="146" t="s">
        <v>22</v>
      </c>
      <c r="M50" s="147">
        <f>IF(ISERROR(VLOOKUP($A$3&amp;TEXT($A50,"00"),Sonntag!$A$24:$X$205,18,FALSE)),"",VLOOKUP($A$3&amp;TEXT($A50,"00"),Sonntag!$A$24:$X$205,18,FALSE))</f>
        <v>28</v>
      </c>
      <c r="N50" s="33"/>
      <c r="P50" s="161">
        <v>4</v>
      </c>
      <c r="Q50" s="163" t="str">
        <f>IF(K58=0,""," "&amp;IF(M$58&lt;K$58,IF(ISERROR(VLOOKUP($A$3&amp;TEXT($A58,"00"),Sonntag!$A$24:$X$205,11,FALSE)),"",VLOOKUP($A$3&amp;TEXT($A58,"00"),Sonntag!$A$24:$X$205,11,FALSE)),IF(M$58&gt;K$58,IF(ISERROR(VLOOKUP($A$3&amp;TEXT($A58,"00"),Sonntag!$A$24:$X$205,8,FALSE)),"",VLOOKUP($A$3&amp;TEXT($A58,"00"),Sonntag!$A$24:$X$205,8,FALSE)))))</f>
        <v> TV Sottrum</v>
      </c>
      <c r="R50" s="71"/>
      <c r="S50" s="71"/>
      <c r="T50" s="71"/>
      <c r="U50" s="71"/>
      <c r="V50" s="71"/>
      <c r="W50" s="162"/>
    </row>
    <row r="51" spans="3:23" ht="18" customHeight="1">
      <c r="C51" s="150" t="s">
        <v>31</v>
      </c>
      <c r="D51" s="150"/>
      <c r="E51" s="150"/>
      <c r="F51" s="150"/>
      <c r="G51" s="150"/>
      <c r="H51" s="150"/>
      <c r="I51" s="150"/>
      <c r="J51" s="150"/>
      <c r="K51" s="152"/>
      <c r="M51" s="153"/>
      <c r="N51" s="33"/>
      <c r="P51" s="161">
        <v>5</v>
      </c>
      <c r="Q51" s="163" t="str">
        <f>IF(K56=0,""," "&amp;IF(M$56&gt;K$56,IF(ISERROR(VLOOKUP($A$3&amp;TEXT($A56,"00"),Sonntag!$A$24:$X$205,11,FALSE)),"",VLOOKUP($A$3&amp;TEXT($A56,"00"),Sonntag!$A$24:$X$205,11,FALSE)),IF(M$56&lt;K$56,IF(ISERROR(VLOOKUP($A$3&amp;TEXT($A56,"00"),Sonntag!$A$24:$X$205,8,FALSE)),"",VLOOKUP($A$3&amp;TEXT($A56,"00"),Sonntag!$A$24:$X$205,8,FALSE)))))</f>
        <v> MTV Eiche Schönebeck</v>
      </c>
      <c r="R51" s="71"/>
      <c r="S51" s="71"/>
      <c r="T51" s="71"/>
      <c r="U51" s="71"/>
      <c r="V51" s="71"/>
      <c r="W51" s="162"/>
    </row>
    <row r="52" spans="1:23" ht="17.25" customHeight="1">
      <c r="A52" s="33" t="s">
        <v>204</v>
      </c>
      <c r="B52" s="3" t="s">
        <v>32</v>
      </c>
      <c r="C52" s="141" t="str">
        <f>"1."&amp;+$D$4&amp;"  Sieger "&amp;+$B$50</f>
        <v>1.Gruppe G  Sieger d</v>
      </c>
      <c r="D52" s="142" t="str">
        <f>IF($Y$31="","",IF(ISERROR(VLOOKUP($A$3&amp;TEXT($A52,"00"),Sonntag!$A$24:$X$205,8,FALSE)),"",VLOOKUP($A$3&amp;TEXT($A52,"00"),Sonntag!$A$24:$X$205,8,FALSE))&amp;" : "&amp;IF($K$50="","",IF(ISERROR(VLOOKUP($A$3&amp;TEXT($A52,"00"),Sonntag!$A$24:$X$205,11,FALSE)),"",VLOOKUP($A$3&amp;TEXT($A52,"00"),Sonntag!$A$24:$X$205,11,FALSE))))</f>
        <v>TuS Westfalia Dortmund-Sölde : TV Kierdorf 1962</v>
      </c>
      <c r="E52" s="143"/>
      <c r="F52" s="143"/>
      <c r="G52" s="143"/>
      <c r="H52" s="143"/>
      <c r="I52" s="144"/>
      <c r="J52" s="136"/>
      <c r="K52" s="145">
        <f>IF(ISERROR(VLOOKUP($A$3&amp;TEXT($A52,"00"),Sonntag!$A$24:$X$205,16,FALSE)),"",VLOOKUP($A$3&amp;TEXT($A52,"00"),Sonntag!$A$24:$X$205,16,FALSE))</f>
        <v>36</v>
      </c>
      <c r="L52" s="146" t="s">
        <v>22</v>
      </c>
      <c r="M52" s="147">
        <f>IF(ISERROR(VLOOKUP($A$3&amp;TEXT($A52,"00"),Sonntag!$A$24:$X$205,18,FALSE)),"",VLOOKUP($A$3&amp;TEXT($A52,"00"),Sonntag!$A$24:$X$205,18,FALSE))</f>
        <v>26</v>
      </c>
      <c r="N52" s="33"/>
      <c r="P52" s="161">
        <v>6</v>
      </c>
      <c r="Q52" s="163" t="str">
        <f>IF(K56=0,""," "&amp;IF(M$56&lt;K$56,IF(ISERROR(VLOOKUP($A$3&amp;TEXT($A56,"00"),Sonntag!$A$24:$X$205,11,FALSE)),"",VLOOKUP($A$3&amp;TEXT($A56,"00"),Sonntag!$A$24:$X$205,11,FALSE)),IF(M$56&gt;K$56,IF(ISERROR(VLOOKUP($A$3&amp;TEXT($A56,"00"),Sonntag!$A$24:$X$205,8,FALSE)),"",VLOOKUP($A$3&amp;TEXT($A56,"00"),Sonntag!$A$24:$X$205,8,FALSE)))))</f>
        <v> TuS Aschen-Strang</v>
      </c>
      <c r="R52" s="71"/>
      <c r="S52" s="71"/>
      <c r="T52" s="71"/>
      <c r="U52" s="71"/>
      <c r="V52" s="71"/>
      <c r="W52" s="162"/>
    </row>
    <row r="53" spans="3:23" ht="4.5" customHeight="1">
      <c r="C53" s="151"/>
      <c r="D53" s="150"/>
      <c r="E53" s="150"/>
      <c r="F53" s="151"/>
      <c r="G53" s="150"/>
      <c r="H53" s="150"/>
      <c r="I53" s="150"/>
      <c r="J53" s="150"/>
      <c r="K53" s="152"/>
      <c r="M53" s="153"/>
      <c r="N53" s="33"/>
      <c r="P53" s="161"/>
      <c r="Q53" s="71"/>
      <c r="R53" s="71"/>
      <c r="S53" s="71"/>
      <c r="T53" s="71"/>
      <c r="U53" s="71"/>
      <c r="V53" s="71"/>
      <c r="W53" s="162"/>
    </row>
    <row r="54" spans="1:23" ht="17.25" customHeight="1">
      <c r="A54" s="33" t="s">
        <v>205</v>
      </c>
      <c r="B54" s="3" t="s">
        <v>33</v>
      </c>
      <c r="C54" s="141" t="str">
        <f>"1."&amp;+$D$22&amp;"  Sieger "&amp;+$B$48</f>
        <v>1.Gruppe H  Sieger c</v>
      </c>
      <c r="D54" s="142" t="str">
        <f>IF($Y$31="","",(IF(ISERROR(VLOOKUP($A$3&amp;TEXT($A54,"00"),Sonntag!$A$24:$X$205,8,FALSE)),"",VLOOKUP($A$3&amp;TEXT($A54,"00"),Sonntag!$A$24:$X$205,8,FALSE)))&amp;" : "&amp;IF($K$48="","",IF(ISERROR(VLOOKUP($A$3&amp;TEXT($A54,"00"),Sonntag!$A$24:$X$205,11,FALSE)),"",VLOOKUP($A$3&amp;TEXT($A54,"00"),Sonntag!$A$24:$X$205,11,FALSE))))</f>
        <v>TV Rieschweiler : TV Sottrum</v>
      </c>
      <c r="E54" s="143"/>
      <c r="F54" s="143"/>
      <c r="G54" s="143"/>
      <c r="H54" s="143"/>
      <c r="I54" s="143"/>
      <c r="J54" s="136"/>
      <c r="K54" s="145">
        <f>IF(ISERROR(VLOOKUP($A$3&amp;TEXT($A54,"00"),Sonntag!$A$24:$X$205,16,FALSE)),"",VLOOKUP($A$3&amp;TEXT($A54,"00"),Sonntag!$A$24:$X$205,16,FALSE))</f>
        <v>34</v>
      </c>
      <c r="L54" s="146" t="s">
        <v>22</v>
      </c>
      <c r="M54" s="147">
        <f>IF(ISERROR(VLOOKUP($A$3&amp;TEXT($A54,"00"),Sonntag!$A$24:$X$205,18,FALSE)),"",VLOOKUP($A$3&amp;TEXT($A54,"00"),Sonntag!$A$24:$X$205,18,FALSE))</f>
        <v>33</v>
      </c>
      <c r="N54" s="33"/>
      <c r="P54" s="161">
        <v>7</v>
      </c>
      <c r="Q54" s="163" t="str">
        <f>IF(K42=0,""," "&amp;IF(M$46&gt;K$46,IF(ISERROR(VLOOKUP($A$3&amp;TEXT($A46,"00"),Sonntag!$A$24:$X$205,11,FALSE)),"",VLOOKUP($A$3&amp;TEXT($A46,"00"),Sonntag!$A$24:$X$205,11,FALSE)),IF(M$46&lt;K$46,IF(ISERROR(VLOOKUP($A$3&amp;TEXT($A46,"00"),Sonntag!$A$24:$X$205,8,FALSE)),"",VLOOKUP($A$3&amp;TEXT($A46,"00"),Sonntag!$A$24:$X$205,8,FALSE)))))</f>
        <v> TV Jahn Bad Lippspringe</v>
      </c>
      <c r="R54" s="71"/>
      <c r="S54" s="71"/>
      <c r="T54" s="71"/>
      <c r="U54" s="71"/>
      <c r="V54" s="71"/>
      <c r="W54" s="162"/>
    </row>
    <row r="55" spans="3:23" ht="18" customHeight="1">
      <c r="C55" s="164" t="s">
        <v>159</v>
      </c>
      <c r="D55" s="150"/>
      <c r="E55" s="150"/>
      <c r="F55" s="151"/>
      <c r="G55" s="150"/>
      <c r="H55" s="150"/>
      <c r="I55" s="150"/>
      <c r="J55" s="150"/>
      <c r="K55" s="152"/>
      <c r="M55" s="153"/>
      <c r="N55" s="33"/>
      <c r="P55" s="161">
        <v>8</v>
      </c>
      <c r="Q55" s="163" t="str">
        <f>IF(K42=0,""," "&amp;IF(M$46&lt;K$46,IF(ISERROR(VLOOKUP($A$3&amp;TEXT($A46,"00"),Sonntag!$A$24:$X$205,11,FALSE)),"",VLOOKUP($A$3&amp;TEXT($A46,"00"),Sonntag!$A$24:$X$205,11,FALSE)),IF(M$46&gt;K$46,IF(ISERROR(VLOOKUP($A$3&amp;TEXT($A46,"00"),Sonntag!$A$24:$X$205,8,FALSE)),"",VLOOKUP($A$3&amp;TEXT($A46,"00"),Sonntag!$A$24:$X$205,8,FALSE)))))</f>
        <v> TSV Wuchzenhofen</v>
      </c>
      <c r="R55" s="71"/>
      <c r="S55" s="71"/>
      <c r="T55" s="71"/>
      <c r="U55" s="71"/>
      <c r="V55" s="71"/>
      <c r="W55" s="162"/>
    </row>
    <row r="56" spans="1:23" ht="17.25" customHeight="1">
      <c r="A56" s="33" t="s">
        <v>216</v>
      </c>
      <c r="C56" s="174" t="str">
        <f>"V."&amp;B48&amp;"/"&amp;B50&amp;"         5./6. Pl."</f>
        <v>V.c/d         5./6. Pl.</v>
      </c>
      <c r="D56" s="142" t="str">
        <f>IF($K$52=0,"",(IF(ISERROR(VLOOKUP($A$3&amp;TEXT($A56,"00"),Sonntag!$A$24:$X$205,8,FALSE)),"",VLOOKUP($A$3&amp;TEXT($A56,"00"),Sonntag!$A$24:$X$205,8,FALSE)))&amp;" : "&amp;IF(ISERROR(VLOOKUP($A$3&amp;TEXT($A56,"00"),Sonntag!$A$24:$X$205,11,FALSE)),"",VLOOKUP($A$3&amp;TEXT($A56,"00"),Sonntag!$A$24:$X$205,11,FALSE)))</f>
        <v>MTV Eiche Schönebeck : TuS Aschen-Strang</v>
      </c>
      <c r="E56" s="143"/>
      <c r="F56" s="143"/>
      <c r="G56" s="143"/>
      <c r="H56" s="143"/>
      <c r="I56" s="143"/>
      <c r="J56" s="136"/>
      <c r="K56" s="145">
        <f>IF(ISERROR(VLOOKUP($A$3&amp;TEXT($A56,"00"),Sonntag!$A$24:$X$205,16,FALSE)),"",VLOOKUP($A$3&amp;TEXT($A56,"00"),Sonntag!$A$24:$X$205,16,FALSE))</f>
        <v>30</v>
      </c>
      <c r="L56" s="146" t="s">
        <v>22</v>
      </c>
      <c r="M56" s="147">
        <f>IF(ISERROR(VLOOKUP($A$3&amp;TEXT($A56,"00"),Sonntag!$A$24:$X$205,18,FALSE)),"",VLOOKUP($A$3&amp;TEXT($A56,"00"),Sonntag!$A$24:$X$205,18,FALSE))</f>
        <v>29</v>
      </c>
      <c r="N56" s="33"/>
      <c r="P56" s="161">
        <v>9</v>
      </c>
      <c r="Q56" s="163" t="str">
        <f>IF(K42=0,""," "&amp;IF(M$44&gt;K$44,IF(ISERROR(VLOOKUP($A$3&amp;TEXT($A44,"00"),Sonntag!$A$24:$X$205,11,FALSE)),"",VLOOKUP($A$3&amp;TEXT($A44,"00"),Sonntag!$A$24:$X$205,11,FALSE)),IF(M$44&lt;K$44,IF(ISERROR(VLOOKUP($A$3&amp;TEXT($A44,"00"),Sonntag!$A$24:$X$205,8,FALSE)),"",VLOOKUP($A$3&amp;TEXT($A44,"00"),Sonntag!$A$24:$X$205,8,FALSE)))))</f>
        <v> SV Werder Bremen</v>
      </c>
      <c r="R56" s="71"/>
      <c r="S56" s="71"/>
      <c r="T56" s="71"/>
      <c r="U56" s="71"/>
      <c r="V56" s="71"/>
      <c r="W56" s="162"/>
    </row>
    <row r="57" spans="3:23" ht="4.5" customHeight="1">
      <c r="C57" s="150"/>
      <c r="D57" s="150"/>
      <c r="E57" s="150"/>
      <c r="F57" s="150"/>
      <c r="G57" s="150"/>
      <c r="H57" s="150"/>
      <c r="I57" s="151"/>
      <c r="J57" s="150"/>
      <c r="K57" s="152"/>
      <c r="M57" s="153"/>
      <c r="N57" s="33"/>
      <c r="P57" s="161"/>
      <c r="Q57" s="71"/>
      <c r="R57" s="71"/>
      <c r="S57" s="71"/>
      <c r="T57" s="71"/>
      <c r="U57" s="71"/>
      <c r="V57" s="71"/>
      <c r="W57" s="162"/>
    </row>
    <row r="58" spans="1:23" ht="17.25" customHeight="1">
      <c r="A58" s="33" t="s">
        <v>206</v>
      </c>
      <c r="C58" s="174" t="str">
        <f>"V."&amp;B52&amp;"/"&amp;B54&amp;"         3./4. Pl."</f>
        <v>V.e/f         3./4. Pl.</v>
      </c>
      <c r="D58" s="142" t="str">
        <f>IF($K$52=0,"",(IF(ISERROR(VLOOKUP($A$3&amp;TEXT($A58,"00"),Sonntag!$A$24:$X$205,8,FALSE)),"",VLOOKUP($A$3&amp;TEXT($A58,"00"),Sonntag!$A$24:$X$205,8,FALSE)))&amp;" : "&amp;IF(ISERROR(VLOOKUP($A$3&amp;TEXT($A58,"00"),Sonntag!$A$24:$X$205,11,FALSE)),"",VLOOKUP($A$3&amp;TEXT($A58,"00"),Sonntag!$A$24:$X$205,11,FALSE)))</f>
        <v>TV Sottrum : TV Kierdorf 1962</v>
      </c>
      <c r="E58" s="143"/>
      <c r="F58" s="144"/>
      <c r="G58" s="143"/>
      <c r="H58" s="143"/>
      <c r="I58" s="143"/>
      <c r="J58" s="136"/>
      <c r="K58" s="145">
        <f>IF(ISERROR(VLOOKUP($A$3&amp;TEXT($A58,"00"),Sonntag!$A$24:$X$205,16,FALSE)),"",VLOOKUP($A$3&amp;TEXT($A58,"00"),Sonntag!$A$24:$X$205,16,FALSE))</f>
        <v>32</v>
      </c>
      <c r="L58" s="146" t="s">
        <v>22</v>
      </c>
      <c r="M58" s="147">
        <f>IF(ISERROR(VLOOKUP($A$3&amp;TEXT($A58,"00"),Sonntag!$A$24:$X$205,18,FALSE)),"",VLOOKUP($A$3&amp;TEXT($A58,"00"),Sonntag!$A$24:$X$205,18,FALSE))</f>
        <v>35</v>
      </c>
      <c r="N58" s="33"/>
      <c r="P58" s="165">
        <v>10</v>
      </c>
      <c r="Q58" s="166" t="str">
        <f>IF(K42=0,""," "&amp;IF(M$44&lt;K$44,IF(ISERROR(VLOOKUP($A$3&amp;TEXT($A44,"00"),Sonntag!$A$24:$X$205,11,FALSE)),"",VLOOKUP($A$3&amp;TEXT($A44,"00"),Sonntag!$A$24:$X$205,11,FALSE)),IF(M$44&gt;K$44,IF(ISERROR(VLOOKUP($A$3&amp;TEXT($A44,"00"),Sonntag!$A$24:$X$205,8,FALSE)),"",VLOOKUP($A$3&amp;TEXT($A44,"00"),Sonntag!$A$24:$X$205,8,FALSE)))))</f>
        <v> VfL Waiblingen</v>
      </c>
      <c r="R58" s="167"/>
      <c r="S58" s="167"/>
      <c r="T58" s="167"/>
      <c r="U58" s="167"/>
      <c r="V58" s="167"/>
      <c r="W58" s="168"/>
    </row>
    <row r="59" spans="3:14" ht="18" customHeight="1">
      <c r="C59" s="104" t="s">
        <v>34</v>
      </c>
      <c r="D59" s="132"/>
      <c r="E59" s="150"/>
      <c r="F59" s="150"/>
      <c r="G59" s="150"/>
      <c r="H59" s="132"/>
      <c r="I59" s="169"/>
      <c r="J59" s="132"/>
      <c r="K59" s="152"/>
      <c r="M59" s="153"/>
      <c r="N59" s="33"/>
    </row>
    <row r="60" spans="1:14" ht="17.25" customHeight="1">
      <c r="A60" s="33" t="s">
        <v>207</v>
      </c>
      <c r="C60" s="174" t="str">
        <f>"S."&amp;B52&amp;"/"&amp;B54&amp;"         1./2. Pl."</f>
        <v>S.e/f         1./2. Pl.</v>
      </c>
      <c r="D60" s="142" t="str">
        <f>IF($K$52=0,"",(IF(ISERROR(VLOOKUP($A$3&amp;TEXT($A60,"00"),Sonntag!$A$24:$X$205,8,FALSE)),"",VLOOKUP($A$3&amp;TEXT($A60,"00"),Sonntag!$A$24:$X$205,8,FALSE)))&amp;" : "&amp;IF(ISERROR(VLOOKUP($A$3&amp;TEXT($A60,"00"),Sonntag!$A$24:$X$205,11,FALSE)),"",VLOOKUP($A$3&amp;TEXT($A60,"00"),Sonntag!$A$24:$X$205,11,FALSE)))</f>
        <v>TV Rieschweiler : TuS Westfalia Dortmund-Sölde</v>
      </c>
      <c r="E60" s="154"/>
      <c r="F60" s="170"/>
      <c r="G60" s="154"/>
      <c r="H60" s="143"/>
      <c r="I60" s="143"/>
      <c r="J60" s="136"/>
      <c r="K60" s="145">
        <f>IF(ISERROR(VLOOKUP($A$3&amp;TEXT($A60,"00"),Sonntag!$A$24:$X$205,16,FALSE)),"",VLOOKUP($A$3&amp;TEXT($A60,"00"),Sonntag!$A$24:$X$205,16,FALSE))</f>
        <v>31</v>
      </c>
      <c r="L60" s="146" t="s">
        <v>22</v>
      </c>
      <c r="M60" s="147">
        <f>IF(ISERROR(VLOOKUP($A$3&amp;TEXT($A60,"00"),Sonntag!$A$24:$X$205,18,FALSE)),"",VLOOKUP($A$3&amp;TEXT($A60,"00"),Sonntag!$A$24:$X$205,18,FALSE))</f>
        <v>36</v>
      </c>
      <c r="N60" s="33"/>
    </row>
  </sheetData>
  <sheetProtection/>
  <conditionalFormatting sqref="H5">
    <cfRule type="cellIs" priority="314" dxfId="0" operator="lessThan" stopIfTrue="1">
      <formula>1</formula>
    </cfRule>
  </conditionalFormatting>
  <conditionalFormatting sqref="J23">
    <cfRule type="cellIs" priority="311" dxfId="0" operator="lessThan" stopIfTrue="1">
      <formula>1</formula>
    </cfRule>
  </conditionalFormatting>
  <conditionalFormatting sqref="Q5">
    <cfRule type="cellIs" priority="278" dxfId="0" operator="lessThan" stopIfTrue="1">
      <formula>1</formula>
    </cfRule>
  </conditionalFormatting>
  <conditionalFormatting sqref="J5">
    <cfRule type="cellIs" priority="253" dxfId="0" operator="lessThan" stopIfTrue="1">
      <formula>1</formula>
    </cfRule>
  </conditionalFormatting>
  <conditionalFormatting sqref="K5">
    <cfRule type="cellIs" priority="250" dxfId="0" operator="lessThan" stopIfTrue="1">
      <formula>1</formula>
    </cfRule>
  </conditionalFormatting>
  <conditionalFormatting sqref="M5">
    <cfRule type="cellIs" priority="249" dxfId="0" operator="lessThan" stopIfTrue="1">
      <formula>1</formula>
    </cfRule>
  </conditionalFormatting>
  <conditionalFormatting sqref="N5">
    <cfRule type="cellIs" priority="248" dxfId="0" operator="lessThan" stopIfTrue="1">
      <formula>1</formula>
    </cfRule>
  </conditionalFormatting>
  <conditionalFormatting sqref="P5">
    <cfRule type="cellIs" priority="247" dxfId="0" operator="lessThan" stopIfTrue="1">
      <formula>1</formula>
    </cfRule>
  </conditionalFormatting>
  <conditionalFormatting sqref="S5">
    <cfRule type="cellIs" priority="241" dxfId="0" operator="lessThan" stopIfTrue="1">
      <formula>1</formula>
    </cfRule>
  </conditionalFormatting>
  <conditionalFormatting sqref="K7">
    <cfRule type="cellIs" priority="220" dxfId="0" operator="lessThan" stopIfTrue="1">
      <formula>1</formula>
    </cfRule>
  </conditionalFormatting>
  <conditionalFormatting sqref="M7">
    <cfRule type="cellIs" priority="219" dxfId="0" operator="lessThan" stopIfTrue="1">
      <formula>1</formula>
    </cfRule>
  </conditionalFormatting>
  <conditionalFormatting sqref="H23">
    <cfRule type="cellIs" priority="208" dxfId="0" operator="lessThan" stopIfTrue="1">
      <formula>1</formula>
    </cfRule>
  </conditionalFormatting>
  <conditionalFormatting sqref="Q46">
    <cfRule type="cellIs" priority="98" dxfId="0" operator="lessThan" stopIfTrue="1">
      <formula>1</formula>
    </cfRule>
  </conditionalFormatting>
  <conditionalFormatting sqref="Q47">
    <cfRule type="cellIs" priority="95" dxfId="0" operator="lessThan" stopIfTrue="1">
      <formula>1</formula>
    </cfRule>
  </conditionalFormatting>
  <conditionalFormatting sqref="Q48">
    <cfRule type="cellIs" priority="91" dxfId="0" operator="lessThan" stopIfTrue="1">
      <formula>1</formula>
    </cfRule>
  </conditionalFormatting>
  <conditionalFormatting sqref="Q50">
    <cfRule type="cellIs" priority="89" dxfId="0" operator="lessThan" stopIfTrue="1">
      <formula>1</formula>
    </cfRule>
  </conditionalFormatting>
  <conditionalFormatting sqref="Q52">
    <cfRule type="cellIs" priority="87" dxfId="0" operator="lessThan" stopIfTrue="1">
      <formula>1</formula>
    </cfRule>
  </conditionalFormatting>
  <conditionalFormatting sqref="Q51">
    <cfRule type="cellIs" priority="85" dxfId="0" operator="lessThan" stopIfTrue="1">
      <formula>1</formula>
    </cfRule>
  </conditionalFormatting>
  <conditionalFormatting sqref="Q55">
    <cfRule type="cellIs" priority="83" dxfId="0" operator="lessThan" stopIfTrue="1">
      <formula>1</formula>
    </cfRule>
  </conditionalFormatting>
  <conditionalFormatting sqref="Q54">
    <cfRule type="cellIs" priority="81" dxfId="0" operator="lessThan" stopIfTrue="1">
      <formula>1</formula>
    </cfRule>
  </conditionalFormatting>
  <conditionalFormatting sqref="Q56">
    <cfRule type="cellIs" priority="79" dxfId="0" operator="lessThan" stopIfTrue="1">
      <formula>1</formula>
    </cfRule>
  </conditionalFormatting>
  <conditionalFormatting sqref="Q58">
    <cfRule type="cellIs" priority="77" dxfId="0" operator="lessThan" stopIfTrue="1">
      <formula>1</formula>
    </cfRule>
  </conditionalFormatting>
  <conditionalFormatting sqref="K40">
    <cfRule type="cellIs" priority="76" dxfId="0" operator="lessThan" stopIfTrue="1">
      <formula>1</formula>
    </cfRule>
  </conditionalFormatting>
  <conditionalFormatting sqref="K40">
    <cfRule type="cellIs" priority="75" dxfId="0" operator="lessThan" stopIfTrue="1">
      <formula>1</formula>
    </cfRule>
  </conditionalFormatting>
  <conditionalFormatting sqref="M40">
    <cfRule type="cellIs" priority="74" dxfId="0" operator="lessThan" stopIfTrue="1">
      <formula>1</formula>
    </cfRule>
  </conditionalFormatting>
  <conditionalFormatting sqref="M40">
    <cfRule type="cellIs" priority="73" dxfId="0" operator="lessThan" stopIfTrue="1">
      <formula>1</formula>
    </cfRule>
  </conditionalFormatting>
  <conditionalFormatting sqref="K42">
    <cfRule type="cellIs" priority="72" dxfId="0" operator="lessThan" stopIfTrue="1">
      <formula>1</formula>
    </cfRule>
  </conditionalFormatting>
  <conditionalFormatting sqref="K42">
    <cfRule type="cellIs" priority="71" dxfId="0" operator="lessThan" stopIfTrue="1">
      <formula>1</formula>
    </cfRule>
  </conditionalFormatting>
  <conditionalFormatting sqref="M42">
    <cfRule type="cellIs" priority="70" dxfId="0" operator="lessThan" stopIfTrue="1">
      <formula>1</formula>
    </cfRule>
  </conditionalFormatting>
  <conditionalFormatting sqref="M42">
    <cfRule type="cellIs" priority="69" dxfId="0" operator="lessThan" stopIfTrue="1">
      <formula>1</formula>
    </cfRule>
  </conditionalFormatting>
  <conditionalFormatting sqref="K44">
    <cfRule type="cellIs" priority="68" dxfId="0" operator="lessThan" stopIfTrue="1">
      <formula>1</formula>
    </cfRule>
  </conditionalFormatting>
  <conditionalFormatting sqref="K46">
    <cfRule type="cellIs" priority="64" dxfId="0" operator="lessThan" stopIfTrue="1">
      <formula>1</formula>
    </cfRule>
  </conditionalFormatting>
  <conditionalFormatting sqref="K46">
    <cfRule type="cellIs" priority="63" dxfId="0" operator="lessThan" stopIfTrue="1">
      <formula>1</formula>
    </cfRule>
  </conditionalFormatting>
  <conditionalFormatting sqref="M46">
    <cfRule type="cellIs" priority="62" dxfId="0" operator="lessThan" stopIfTrue="1">
      <formula>1</formula>
    </cfRule>
  </conditionalFormatting>
  <conditionalFormatting sqref="M46">
    <cfRule type="cellIs" priority="61" dxfId="0" operator="lessThan" stopIfTrue="1">
      <formula>1</formula>
    </cfRule>
  </conditionalFormatting>
  <conditionalFormatting sqref="M44">
    <cfRule type="cellIs" priority="58" dxfId="0" operator="lessThan" stopIfTrue="1">
      <formula>1</formula>
    </cfRule>
  </conditionalFormatting>
  <conditionalFormatting sqref="K48">
    <cfRule type="cellIs" priority="56" dxfId="0" operator="lessThan" stopIfTrue="1">
      <formula>1</formula>
    </cfRule>
  </conditionalFormatting>
  <conditionalFormatting sqref="K48">
    <cfRule type="cellIs" priority="55" dxfId="0" operator="lessThan" stopIfTrue="1">
      <formula>1</formula>
    </cfRule>
  </conditionalFormatting>
  <conditionalFormatting sqref="M48">
    <cfRule type="cellIs" priority="54" dxfId="0" operator="lessThan" stopIfTrue="1">
      <formula>1</formula>
    </cfRule>
  </conditionalFormatting>
  <conditionalFormatting sqref="M48">
    <cfRule type="cellIs" priority="53" dxfId="0" operator="lessThan" stopIfTrue="1">
      <formula>1</formula>
    </cfRule>
  </conditionalFormatting>
  <conditionalFormatting sqref="K50">
    <cfRule type="cellIs" priority="52" dxfId="0" operator="lessThan" stopIfTrue="1">
      <formula>1</formula>
    </cfRule>
  </conditionalFormatting>
  <conditionalFormatting sqref="K50">
    <cfRule type="cellIs" priority="51" dxfId="0" operator="lessThan" stopIfTrue="1">
      <formula>1</formula>
    </cfRule>
  </conditionalFormatting>
  <conditionalFormatting sqref="M50">
    <cfRule type="cellIs" priority="50" dxfId="0" operator="lessThan" stopIfTrue="1">
      <formula>1</formula>
    </cfRule>
  </conditionalFormatting>
  <conditionalFormatting sqref="M50">
    <cfRule type="cellIs" priority="49" dxfId="0" operator="lessThan" stopIfTrue="1">
      <formula>1</formula>
    </cfRule>
  </conditionalFormatting>
  <conditionalFormatting sqref="K52">
    <cfRule type="cellIs" priority="48" dxfId="0" operator="lessThan" stopIfTrue="1">
      <formula>1</formula>
    </cfRule>
  </conditionalFormatting>
  <conditionalFormatting sqref="K52">
    <cfRule type="cellIs" priority="47" dxfId="0" operator="lessThan" stopIfTrue="1">
      <formula>1</formula>
    </cfRule>
  </conditionalFormatting>
  <conditionalFormatting sqref="M52">
    <cfRule type="cellIs" priority="46" dxfId="0" operator="lessThan" stopIfTrue="1">
      <formula>1</formula>
    </cfRule>
  </conditionalFormatting>
  <conditionalFormatting sqref="M52">
    <cfRule type="cellIs" priority="45" dxfId="0" operator="lessThan" stopIfTrue="1">
      <formula>1</formula>
    </cfRule>
  </conditionalFormatting>
  <conditionalFormatting sqref="K54">
    <cfRule type="cellIs" priority="44" dxfId="0" operator="lessThan" stopIfTrue="1">
      <formula>1</formula>
    </cfRule>
  </conditionalFormatting>
  <conditionalFormatting sqref="K54">
    <cfRule type="cellIs" priority="43" dxfId="0" operator="lessThan" stopIfTrue="1">
      <formula>1</formula>
    </cfRule>
  </conditionalFormatting>
  <conditionalFormatting sqref="M54">
    <cfRule type="cellIs" priority="42" dxfId="0" operator="lessThan" stopIfTrue="1">
      <formula>1</formula>
    </cfRule>
  </conditionalFormatting>
  <conditionalFormatting sqref="M54">
    <cfRule type="cellIs" priority="41" dxfId="0" operator="lessThan" stopIfTrue="1">
      <formula>1</formula>
    </cfRule>
  </conditionalFormatting>
  <conditionalFormatting sqref="K56">
    <cfRule type="cellIs" priority="40" dxfId="0" operator="lessThan" stopIfTrue="1">
      <formula>1</formula>
    </cfRule>
  </conditionalFormatting>
  <conditionalFormatting sqref="K56">
    <cfRule type="cellIs" priority="39" dxfId="0" operator="lessThan" stopIfTrue="1">
      <formula>1</formula>
    </cfRule>
  </conditionalFormatting>
  <conditionalFormatting sqref="M56">
    <cfRule type="cellIs" priority="38" dxfId="0" operator="lessThan" stopIfTrue="1">
      <formula>1</formula>
    </cfRule>
  </conditionalFormatting>
  <conditionalFormatting sqref="M56">
    <cfRule type="cellIs" priority="37" dxfId="0" operator="lessThan" stopIfTrue="1">
      <formula>1</formula>
    </cfRule>
  </conditionalFormatting>
  <conditionalFormatting sqref="K58">
    <cfRule type="cellIs" priority="36" dxfId="0" operator="lessThan" stopIfTrue="1">
      <formula>1</formula>
    </cfRule>
  </conditionalFormatting>
  <conditionalFormatting sqref="K58">
    <cfRule type="cellIs" priority="35" dxfId="0" operator="lessThan" stopIfTrue="1">
      <formula>1</formula>
    </cfRule>
  </conditionalFormatting>
  <conditionalFormatting sqref="M58">
    <cfRule type="cellIs" priority="34" dxfId="0" operator="lessThan" stopIfTrue="1">
      <formula>1</formula>
    </cfRule>
  </conditionalFormatting>
  <conditionalFormatting sqref="M58">
    <cfRule type="cellIs" priority="33" dxfId="0" operator="lessThan" stopIfTrue="1">
      <formula>1</formula>
    </cfRule>
  </conditionalFormatting>
  <conditionalFormatting sqref="K60">
    <cfRule type="cellIs" priority="32" dxfId="0" operator="lessThan" stopIfTrue="1">
      <formula>1</formula>
    </cfRule>
  </conditionalFormatting>
  <conditionalFormatting sqref="K60">
    <cfRule type="cellIs" priority="31" dxfId="0" operator="lessThan" stopIfTrue="1">
      <formula>1</formula>
    </cfRule>
  </conditionalFormatting>
  <conditionalFormatting sqref="M60">
    <cfRule type="cellIs" priority="30" dxfId="0" operator="lessThan" stopIfTrue="1">
      <formula>1</formula>
    </cfRule>
  </conditionalFormatting>
  <conditionalFormatting sqref="M60">
    <cfRule type="cellIs" priority="29" dxfId="0" operator="lessThan" stopIfTrue="1">
      <formula>1</formula>
    </cfRule>
  </conditionalFormatting>
  <conditionalFormatting sqref="N7">
    <cfRule type="cellIs" priority="28" dxfId="0" operator="lessThan" stopIfTrue="1">
      <formula>1</formula>
    </cfRule>
  </conditionalFormatting>
  <conditionalFormatting sqref="P7">
    <cfRule type="cellIs" priority="27" dxfId="0" operator="lessThan" stopIfTrue="1">
      <formula>1</formula>
    </cfRule>
  </conditionalFormatting>
  <conditionalFormatting sqref="Q7">
    <cfRule type="cellIs" priority="26" dxfId="0" operator="lessThan" stopIfTrue="1">
      <formula>1</formula>
    </cfRule>
  </conditionalFormatting>
  <conditionalFormatting sqref="S7">
    <cfRule type="cellIs" priority="25" dxfId="0" operator="lessThan" stopIfTrue="1">
      <formula>1</formula>
    </cfRule>
  </conditionalFormatting>
  <conditionalFormatting sqref="Q9">
    <cfRule type="cellIs" priority="24" dxfId="0" operator="lessThan" stopIfTrue="1">
      <formula>1</formula>
    </cfRule>
  </conditionalFormatting>
  <conditionalFormatting sqref="S9">
    <cfRule type="cellIs" priority="23" dxfId="0" operator="lessThan" stopIfTrue="1">
      <formula>1</formula>
    </cfRule>
  </conditionalFormatting>
  <conditionalFormatting sqref="N9">
    <cfRule type="cellIs" priority="22" dxfId="0" operator="lessThan" stopIfTrue="1">
      <formula>1</formula>
    </cfRule>
  </conditionalFormatting>
  <conditionalFormatting sqref="P9">
    <cfRule type="cellIs" priority="21" dxfId="0" operator="lessThan" stopIfTrue="1">
      <formula>1</formula>
    </cfRule>
  </conditionalFormatting>
  <conditionalFormatting sqref="Q11">
    <cfRule type="cellIs" priority="20" dxfId="0" operator="lessThan" stopIfTrue="1">
      <formula>1</formula>
    </cfRule>
  </conditionalFormatting>
  <conditionalFormatting sqref="S11">
    <cfRule type="cellIs" priority="19" dxfId="0" operator="lessThan" stopIfTrue="1">
      <formula>1</formula>
    </cfRule>
  </conditionalFormatting>
  <conditionalFormatting sqref="M23">
    <cfRule type="cellIs" priority="18" dxfId="0" operator="lessThan" stopIfTrue="1">
      <formula>1</formula>
    </cfRule>
  </conditionalFormatting>
  <conditionalFormatting sqref="K23">
    <cfRule type="cellIs" priority="17" dxfId="0" operator="lessThan" stopIfTrue="1">
      <formula>1</formula>
    </cfRule>
  </conditionalFormatting>
  <conditionalFormatting sqref="M25">
    <cfRule type="cellIs" priority="16" dxfId="0" operator="lessThan" stopIfTrue="1">
      <formula>1</formula>
    </cfRule>
  </conditionalFormatting>
  <conditionalFormatting sqref="K25">
    <cfRule type="cellIs" priority="15" dxfId="0" operator="lessThan" stopIfTrue="1">
      <formula>1</formula>
    </cfRule>
  </conditionalFormatting>
  <conditionalFormatting sqref="P25">
    <cfRule type="cellIs" priority="14" dxfId="0" operator="lessThan" stopIfTrue="1">
      <formula>1</formula>
    </cfRule>
  </conditionalFormatting>
  <conditionalFormatting sqref="N25">
    <cfRule type="cellIs" priority="13" dxfId="0" operator="lessThan" stopIfTrue="1">
      <formula>1</formula>
    </cfRule>
  </conditionalFormatting>
  <conditionalFormatting sqref="P23">
    <cfRule type="cellIs" priority="12" dxfId="0" operator="lessThan" stopIfTrue="1">
      <formula>1</formula>
    </cfRule>
  </conditionalFormatting>
  <conditionalFormatting sqref="N23">
    <cfRule type="cellIs" priority="11" dxfId="0" operator="lessThan" stopIfTrue="1">
      <formula>1</formula>
    </cfRule>
  </conditionalFormatting>
  <conditionalFormatting sqref="P27">
    <cfRule type="cellIs" priority="10" dxfId="0" operator="lessThan" stopIfTrue="1">
      <formula>1</formula>
    </cfRule>
  </conditionalFormatting>
  <conditionalFormatting sqref="N27">
    <cfRule type="cellIs" priority="9" dxfId="0" operator="lessThan" stopIfTrue="1">
      <formula>1</formula>
    </cfRule>
  </conditionalFormatting>
  <conditionalFormatting sqref="S27">
    <cfRule type="cellIs" priority="8" dxfId="0" operator="lessThan" stopIfTrue="1">
      <formula>1</formula>
    </cfRule>
  </conditionalFormatting>
  <conditionalFormatting sqref="Q27">
    <cfRule type="cellIs" priority="7" dxfId="0" operator="lessThan" stopIfTrue="1">
      <formula>1</formula>
    </cfRule>
  </conditionalFormatting>
  <conditionalFormatting sqref="S29">
    <cfRule type="cellIs" priority="6" dxfId="0" operator="lessThan" stopIfTrue="1">
      <formula>1</formula>
    </cfRule>
  </conditionalFormatting>
  <conditionalFormatting sqref="Q29">
    <cfRule type="cellIs" priority="5" dxfId="0" operator="lessThan" stopIfTrue="1">
      <formula>1</formula>
    </cfRule>
  </conditionalFormatting>
  <conditionalFormatting sqref="S25">
    <cfRule type="cellIs" priority="4" dxfId="0" operator="lessThan" stopIfTrue="1">
      <formula>1</formula>
    </cfRule>
  </conditionalFormatting>
  <conditionalFormatting sqref="Q25">
    <cfRule type="cellIs" priority="3" dxfId="0" operator="lessThan" stopIfTrue="1">
      <formula>1</formula>
    </cfRule>
  </conditionalFormatting>
  <conditionalFormatting sqref="S23">
    <cfRule type="cellIs" priority="2" dxfId="0" operator="lessThan" stopIfTrue="1">
      <formula>1</formula>
    </cfRule>
  </conditionalFormatting>
  <conditionalFormatting sqref="Q23">
    <cfRule type="cellIs" priority="1" dxfId="0" operator="lessThan" stopIfTrue="1">
      <formula>1</formula>
    </cfRule>
  </conditionalFormatting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portrait" paperSize="9" r:id="rId1"/>
  <headerFooter alignWithMargins="0">
    <oddFooter>&amp;R&amp;6&amp;D; &amp;F;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86"/>
  <sheetViews>
    <sheetView zoomScalePageLayoutView="0" workbookViewId="0" topLeftCell="B34">
      <selection activeCell="C50" sqref="C50"/>
    </sheetView>
  </sheetViews>
  <sheetFormatPr defaultColWidth="11.421875" defaultRowHeight="12.75" outlineLevelRow="1" outlineLevelCol="1"/>
  <cols>
    <col min="1" max="1" width="7.57421875" style="33" hidden="1" customWidth="1" outlineLevel="1"/>
    <col min="2" max="2" width="3.7109375" style="3" customWidth="1" collapsed="1"/>
    <col min="3" max="3" width="4.8515625" style="3" customWidth="1"/>
    <col min="4" max="4" width="3.28125" style="3" customWidth="1"/>
    <col min="5" max="5" width="4.140625" style="3" customWidth="1"/>
    <col min="6" max="6" width="3.140625" style="3" customWidth="1"/>
    <col min="7" max="7" width="2.7109375" style="3" hidden="1" customWidth="1" outlineLevel="1"/>
    <col min="8" max="8" width="17.7109375" style="3" customWidth="1" collapsed="1"/>
    <col min="9" max="9" width="1.421875" style="3" customWidth="1"/>
    <col min="10" max="10" width="2.7109375" style="3" hidden="1" customWidth="1" outlineLevel="1"/>
    <col min="11" max="11" width="17.7109375" style="3" customWidth="1" collapsed="1"/>
    <col min="12" max="12" width="3.140625" style="3" customWidth="1"/>
    <col min="13" max="13" width="2.7109375" style="3" hidden="1" customWidth="1" outlineLevel="1"/>
    <col min="14" max="14" width="17.7109375" style="3" customWidth="1" collapsed="1"/>
    <col min="15" max="15" width="4.8515625" style="3" customWidth="1" outlineLevel="1"/>
    <col min="16" max="16" width="2.7109375" style="3" customWidth="1" outlineLevel="1"/>
    <col min="17" max="17" width="1.421875" style="3" customWidth="1" outlineLevel="1"/>
    <col min="18" max="19" width="2.7109375" style="3" customWidth="1" outlineLevel="1"/>
    <col min="20" max="20" width="1.421875" style="3" customWidth="1" outlineLevel="1"/>
    <col min="21" max="21" width="2.7109375" style="3" customWidth="1" outlineLevel="1"/>
    <col min="22" max="22" width="0.71875" style="3" customWidth="1"/>
    <col min="23" max="24" width="8.28125" style="3" hidden="1" customWidth="1" outlineLevel="1"/>
    <col min="25" max="25" width="2.140625" style="33" customWidth="1" collapsed="1"/>
    <col min="26" max="26" width="6.28125" style="33" bestFit="1" customWidth="1"/>
    <col min="27" max="27" width="11.421875" style="33" customWidth="1"/>
    <col min="28" max="16384" width="11.421875" style="3" customWidth="1"/>
  </cols>
  <sheetData>
    <row r="1" spans="2:24" ht="22.5">
      <c r="B1" s="60" t="str">
        <f>+Daten!A1&amp;" "&amp;Daten!B1&amp;" "&amp;Daten!I1</f>
        <v>52. Deutsche Prellball Meisterschaften der Jugend 2015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5" customHeigh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8" ht="15.75" customHeight="1">
      <c r="B3" s="3" t="s">
        <v>197</v>
      </c>
      <c r="C3" s="192" t="str">
        <f>+Daten!A42</f>
        <v>19.04.2015</v>
      </c>
      <c r="H3" s="64" t="str">
        <f>+Daten!E43</f>
        <v>Sporthalle Hermine-Berthold-Str. 19/20, 28205 Bremen</v>
      </c>
    </row>
    <row r="4" ht="15" customHeight="1">
      <c r="C4" s="180"/>
    </row>
    <row r="5" spans="2:24" ht="12.75" hidden="1" outlineLevel="1">
      <c r="B5" s="33" t="str">
        <f>+Daten!I4</f>
        <v>männl. Jugend 11-14</v>
      </c>
      <c r="C5" s="33"/>
      <c r="D5" s="33"/>
      <c r="E5" s="33"/>
      <c r="F5" s="33"/>
      <c r="G5" s="33"/>
      <c r="H5" s="33" t="str">
        <f>+Daten!C12</f>
        <v>weibl. Jugend 15-18</v>
      </c>
      <c r="I5" s="33"/>
      <c r="J5" s="33"/>
      <c r="K5" s="33" t="str">
        <f>+Daten!C4</f>
        <v>weibl. Jugend 11-14</v>
      </c>
      <c r="L5" s="33"/>
      <c r="M5" s="33"/>
      <c r="N5" s="33" t="str">
        <f>+Daten!I12</f>
        <v>männl. Jugend 15-18</v>
      </c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ht="12.75" hidden="1" outlineLevel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ht="4.5" customHeight="1" hidden="1" outlineLevel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2:24" ht="12.75" hidden="1" outlineLevel="1">
      <c r="B8" s="33" t="s">
        <v>16</v>
      </c>
      <c r="C8" s="33"/>
      <c r="D8" s="33"/>
      <c r="E8" s="33"/>
      <c r="F8" s="33"/>
      <c r="G8" s="33"/>
      <c r="H8" s="33" t="s">
        <v>17</v>
      </c>
      <c r="I8" s="33"/>
      <c r="J8" s="33"/>
      <c r="K8" s="33" t="s">
        <v>15</v>
      </c>
      <c r="L8" s="33"/>
      <c r="M8" s="33"/>
      <c r="N8" s="33" t="s">
        <v>18</v>
      </c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 hidden="1" outlineLevel="1">
      <c r="A9" s="33">
        <v>1</v>
      </c>
      <c r="B9" s="181" t="str">
        <f>+'mJ11-14'!AC5</f>
        <v>VfL Waiblingen</v>
      </c>
      <c r="C9" s="33"/>
      <c r="D9" s="33"/>
      <c r="E9" s="33"/>
      <c r="F9" s="33"/>
      <c r="G9" s="33"/>
      <c r="H9" s="181" t="str">
        <f>+'wJ 15-18'!AC5</f>
        <v>MTV Eiche Schönebeck</v>
      </c>
      <c r="I9" s="33"/>
      <c r="J9" s="33"/>
      <c r="K9" s="181" t="str">
        <f>+'wJ11-14'!AC5</f>
        <v>TV Winterhagen</v>
      </c>
      <c r="L9" s="33"/>
      <c r="M9" s="33"/>
      <c r="N9" s="181" t="str">
        <f>+'mJ 15-18'!AC5</f>
        <v>TuS Westfalia Dortmund-Sölde</v>
      </c>
      <c r="O9" s="33"/>
      <c r="P9" s="33"/>
      <c r="Q9" s="33"/>
      <c r="R9" s="33"/>
      <c r="S9" s="33"/>
      <c r="T9" s="33"/>
      <c r="U9" s="33"/>
      <c r="V9" s="33"/>
      <c r="W9" s="181"/>
      <c r="X9" s="33"/>
    </row>
    <row r="10" spans="1:24" ht="12.75" hidden="1" outlineLevel="1">
      <c r="A10" s="33">
        <v>2</v>
      </c>
      <c r="B10" s="181" t="str">
        <f>+'mJ11-14'!AC7</f>
        <v>PV Gundernhausen</v>
      </c>
      <c r="C10" s="33"/>
      <c r="D10" s="33"/>
      <c r="E10" s="33"/>
      <c r="F10" s="33"/>
      <c r="G10" s="33"/>
      <c r="H10" s="181" t="str">
        <f>+'wJ 15-18'!AC7</f>
        <v>MTV Wohnste</v>
      </c>
      <c r="I10" s="33"/>
      <c r="J10" s="33"/>
      <c r="K10" s="181" t="str">
        <f>+'wJ11-14'!AC7</f>
        <v>TV Sottrum</v>
      </c>
      <c r="L10" s="33"/>
      <c r="M10" s="33"/>
      <c r="N10" s="181" t="str">
        <f>+'mJ 15-18'!AC7</f>
        <v>TV Sottrum</v>
      </c>
      <c r="O10" s="33"/>
      <c r="P10" s="33"/>
      <c r="Q10" s="33"/>
      <c r="R10" s="33"/>
      <c r="S10" s="33"/>
      <c r="T10" s="33"/>
      <c r="U10" s="33"/>
      <c r="V10" s="33"/>
      <c r="W10" s="181"/>
      <c r="X10" s="33"/>
    </row>
    <row r="11" spans="1:24" ht="12.75" hidden="1" outlineLevel="1">
      <c r="A11" s="33">
        <v>3</v>
      </c>
      <c r="B11" s="181" t="str">
        <f>+'mJ11-14'!AC9</f>
        <v>MTV Eiche Schönebeck</v>
      </c>
      <c r="C11" s="33"/>
      <c r="D11" s="33"/>
      <c r="E11" s="33"/>
      <c r="F11" s="33"/>
      <c r="G11" s="33"/>
      <c r="H11" s="181" t="str">
        <f>+'wJ 15-18'!AC9</f>
        <v>TV Winterhagen</v>
      </c>
      <c r="I11" s="33"/>
      <c r="J11" s="33"/>
      <c r="K11" s="181" t="str">
        <f>+'wJ11-14'!AC9</f>
        <v>TV Rieschweiler</v>
      </c>
      <c r="L11" s="33"/>
      <c r="M11" s="33"/>
      <c r="N11" s="181" t="str">
        <f>+'mJ 15-18'!AC9</f>
        <v>TuS Aschen-Strang</v>
      </c>
      <c r="O11" s="33"/>
      <c r="P11" s="33"/>
      <c r="Q11" s="33"/>
      <c r="R11" s="33"/>
      <c r="S11" s="33"/>
      <c r="T11" s="33"/>
      <c r="U11" s="33"/>
      <c r="V11" s="33"/>
      <c r="W11" s="181"/>
      <c r="X11" s="33"/>
    </row>
    <row r="12" spans="1:24" ht="12.75" hidden="1" outlineLevel="1">
      <c r="A12" s="33">
        <v>4</v>
      </c>
      <c r="B12" s="181" t="str">
        <f>+'mJ11-14'!AC11</f>
        <v>TSV Ohorn</v>
      </c>
      <c r="C12" s="33"/>
      <c r="D12" s="33"/>
      <c r="E12" s="33"/>
      <c r="F12" s="33"/>
      <c r="G12" s="33"/>
      <c r="H12" s="181" t="str">
        <f>+'wJ 15-18'!AC11</f>
        <v>SV Diepoldshofen</v>
      </c>
      <c r="I12" s="33"/>
      <c r="J12" s="33"/>
      <c r="K12" s="181" t="str">
        <f>+'wJ11-14'!AC11</f>
        <v>MTV Eiche Schönebeck</v>
      </c>
      <c r="L12" s="33"/>
      <c r="M12" s="33"/>
      <c r="N12" s="181" t="str">
        <f>+'mJ 15-18'!AC11</f>
        <v>TV Jahn Bad Lippspringe</v>
      </c>
      <c r="O12" s="33"/>
      <c r="P12" s="33"/>
      <c r="Q12" s="33"/>
      <c r="R12" s="33"/>
      <c r="S12" s="33"/>
      <c r="T12" s="33"/>
      <c r="U12" s="33"/>
      <c r="V12" s="33"/>
      <c r="W12" s="181"/>
      <c r="X12" s="33"/>
    </row>
    <row r="13" spans="1:24" ht="12.75" hidden="1" outlineLevel="1">
      <c r="A13" s="33">
        <v>5</v>
      </c>
      <c r="B13" s="181" t="str">
        <f>+'mJ11-14'!AC13</f>
        <v>Kölner TB</v>
      </c>
      <c r="C13" s="33"/>
      <c r="D13" s="33"/>
      <c r="E13" s="33"/>
      <c r="F13" s="33"/>
      <c r="G13" s="33"/>
      <c r="H13" s="181" t="str">
        <f>+'wJ 15-18'!AC13</f>
        <v>TV Kierdorf 1962</v>
      </c>
      <c r="I13" s="33"/>
      <c r="J13" s="33"/>
      <c r="K13" s="181" t="str">
        <f>+'wJ11-14'!AC13</f>
        <v>TuS Meinerzhagen</v>
      </c>
      <c r="L13" s="33"/>
      <c r="M13" s="33"/>
      <c r="N13" s="181" t="str">
        <f>+'mJ 15-18'!AC13</f>
        <v>VfL Waiblingen</v>
      </c>
      <c r="O13" s="33"/>
      <c r="P13" s="33"/>
      <c r="Q13" s="33"/>
      <c r="R13" s="33"/>
      <c r="S13" s="33"/>
      <c r="T13" s="33"/>
      <c r="U13" s="33"/>
      <c r="V13" s="33"/>
      <c r="W13" s="181"/>
      <c r="X13" s="33"/>
    </row>
    <row r="14" spans="1:24" ht="12.75" hidden="1" outlineLevel="1">
      <c r="A14" s="33">
        <v>11</v>
      </c>
      <c r="B14" s="181" t="str">
        <f>+'mJ11-14'!AC23</f>
        <v>SV Weiler</v>
      </c>
      <c r="C14" s="33"/>
      <c r="D14" s="33"/>
      <c r="E14" s="33"/>
      <c r="F14" s="33"/>
      <c r="G14" s="33"/>
      <c r="H14" s="181" t="str">
        <f>+'wJ 15-18'!AC23</f>
        <v>TuS Concordia Hülsede</v>
      </c>
      <c r="I14" s="33"/>
      <c r="J14" s="33"/>
      <c r="K14" s="181" t="str">
        <f>+'wJ11-14'!AC23</f>
        <v>MTV Wohnste</v>
      </c>
      <c r="L14" s="33"/>
      <c r="M14" s="33"/>
      <c r="N14" s="181" t="str">
        <f>+'mJ 15-18'!AC23</f>
        <v>TV Rieschweiler</v>
      </c>
      <c r="O14" s="33"/>
      <c r="P14" s="33"/>
      <c r="Q14" s="33"/>
      <c r="R14" s="33"/>
      <c r="S14" s="33"/>
      <c r="T14" s="33"/>
      <c r="U14" s="33"/>
      <c r="V14" s="33"/>
      <c r="W14" s="181"/>
      <c r="X14" s="33"/>
    </row>
    <row r="15" spans="1:24" ht="12.75" hidden="1" outlineLevel="1">
      <c r="A15" s="33">
        <v>12</v>
      </c>
      <c r="B15" s="181" t="str">
        <f>+'mJ11-14'!AC25</f>
        <v>TV Reutin</v>
      </c>
      <c r="C15" s="33"/>
      <c r="D15" s="33"/>
      <c r="E15" s="33"/>
      <c r="F15" s="33"/>
      <c r="G15" s="33"/>
      <c r="H15" s="181" t="str">
        <f>+'wJ 15-18'!AC25</f>
        <v>TV Sottrum</v>
      </c>
      <c r="I15" s="33"/>
      <c r="J15" s="33"/>
      <c r="K15" s="181" t="str">
        <f>+'wJ11-14'!AC25</f>
        <v>SV Diepoldshofen</v>
      </c>
      <c r="L15" s="33"/>
      <c r="M15" s="33"/>
      <c r="N15" s="181" t="str">
        <f>+'mJ 15-18'!AC25</f>
        <v>TV Kierdorf 1962</v>
      </c>
      <c r="O15" s="33"/>
      <c r="P15" s="33"/>
      <c r="Q15" s="33"/>
      <c r="R15" s="33"/>
      <c r="S15" s="33"/>
      <c r="T15" s="33"/>
      <c r="U15" s="33"/>
      <c r="V15" s="33"/>
      <c r="W15" s="181"/>
      <c r="X15" s="33"/>
    </row>
    <row r="16" spans="1:24" ht="12.75" hidden="1" outlineLevel="1">
      <c r="A16" s="33">
        <v>13</v>
      </c>
      <c r="B16" s="181" t="str">
        <f>+'mJ11-14'!AC27</f>
        <v>SV Werder Bremen</v>
      </c>
      <c r="C16" s="33"/>
      <c r="D16" s="33"/>
      <c r="E16" s="33"/>
      <c r="F16" s="33"/>
      <c r="G16" s="33"/>
      <c r="H16" s="181" t="str">
        <f>+'wJ 15-18'!AC27</f>
        <v>TSV Babenhausen</v>
      </c>
      <c r="I16" s="33"/>
      <c r="J16" s="33"/>
      <c r="K16" s="181" t="str">
        <f>+'wJ11-14'!AC27</f>
        <v>SV Weiler</v>
      </c>
      <c r="L16" s="33"/>
      <c r="M16" s="33"/>
      <c r="N16" s="181" t="str">
        <f>+'mJ 15-18'!AC27</f>
        <v>MTV Eiche Schönebeck</v>
      </c>
      <c r="O16" s="33"/>
      <c r="P16" s="33"/>
      <c r="Q16" s="33"/>
      <c r="R16" s="33"/>
      <c r="S16" s="33"/>
      <c r="T16" s="33"/>
      <c r="U16" s="33"/>
      <c r="V16" s="33"/>
      <c r="W16" s="181"/>
      <c r="X16" s="33"/>
    </row>
    <row r="17" spans="1:24" ht="12.75" hidden="1" outlineLevel="1">
      <c r="A17" s="33">
        <v>14</v>
      </c>
      <c r="B17" s="181" t="str">
        <f>+'mJ11-14'!AC29</f>
        <v>TSV Marienfelde</v>
      </c>
      <c r="C17" s="33"/>
      <c r="D17" s="33"/>
      <c r="E17" s="33"/>
      <c r="F17" s="33"/>
      <c r="G17" s="33"/>
      <c r="H17" s="181" t="str">
        <f>+'wJ 15-18'!AC29</f>
        <v>TSV Wuchzenhofen</v>
      </c>
      <c r="I17" s="33"/>
      <c r="J17" s="33"/>
      <c r="K17" s="181" t="str">
        <f>+'wJ11-14'!AC29</f>
        <v>TV Berkenbaum</v>
      </c>
      <c r="L17" s="33"/>
      <c r="M17" s="33"/>
      <c r="N17" s="181" t="str">
        <f>+'mJ 15-18'!AC29</f>
        <v>TSV Wuchzenhofen</v>
      </c>
      <c r="O17" s="33"/>
      <c r="P17" s="33"/>
      <c r="Q17" s="33"/>
      <c r="R17" s="33"/>
      <c r="S17" s="33"/>
      <c r="T17" s="33"/>
      <c r="U17" s="33"/>
      <c r="V17" s="33"/>
      <c r="W17" s="181"/>
      <c r="X17" s="33"/>
    </row>
    <row r="18" spans="1:24" ht="12.75" hidden="1" outlineLevel="1">
      <c r="A18" s="33">
        <v>15</v>
      </c>
      <c r="B18" s="181" t="str">
        <f>+'mJ11-14'!AC31</f>
        <v>TV "Frisch Auf" Altenbochum</v>
      </c>
      <c r="C18" s="33"/>
      <c r="D18" s="33"/>
      <c r="E18" s="33"/>
      <c r="F18" s="33"/>
      <c r="G18" s="33"/>
      <c r="H18" s="181" t="str">
        <f>+'wJ 15-18'!AC31</f>
        <v>TV Berkenbaum</v>
      </c>
      <c r="I18" s="33"/>
      <c r="J18" s="33"/>
      <c r="K18" s="33" t="str">
        <f>+'wJ11-14'!AC31</f>
        <v>TV Mahndorf</v>
      </c>
      <c r="L18" s="33"/>
      <c r="M18" s="33"/>
      <c r="N18" s="33" t="str">
        <f>+'mJ 15-18'!AC31</f>
        <v>SV Werder Bremen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="33" customFormat="1" ht="11.25" hidden="1" outlineLevel="1"/>
    <row r="20" s="33" customFormat="1" ht="11.25" hidden="1" outlineLevel="1"/>
    <row r="21" s="33" customFormat="1" ht="11.25" hidden="1" outlineLevel="1"/>
    <row r="22" spans="2:14" ht="12.75" hidden="1" outlineLevel="1">
      <c r="B22" s="33"/>
      <c r="H22" s="33"/>
      <c r="I22" s="33"/>
      <c r="J22" s="33"/>
      <c r="K22" s="33"/>
      <c r="L22" s="33"/>
      <c r="M22" s="33"/>
      <c r="N22" s="33"/>
    </row>
    <row r="23" ht="4.5" customHeight="1" hidden="1" outlineLevel="1"/>
    <row r="24" spans="2:24" s="33" customFormat="1" ht="12.75" customHeight="1" collapsed="1" thickBot="1">
      <c r="B24" s="41" t="s">
        <v>35</v>
      </c>
      <c r="C24" s="41" t="s">
        <v>2</v>
      </c>
      <c r="D24" s="41" t="s">
        <v>36</v>
      </c>
      <c r="E24" s="41" t="s">
        <v>37</v>
      </c>
      <c r="F24" s="41"/>
      <c r="G24" s="41"/>
      <c r="H24" s="41" t="s">
        <v>38</v>
      </c>
      <c r="I24" s="41"/>
      <c r="J24" s="41"/>
      <c r="K24" s="41" t="s">
        <v>38</v>
      </c>
      <c r="L24" s="41"/>
      <c r="M24" s="41"/>
      <c r="N24" s="41" t="s">
        <v>39</v>
      </c>
      <c r="O24" s="41" t="s">
        <v>40</v>
      </c>
      <c r="P24" s="41"/>
      <c r="Q24" s="41" t="s">
        <v>41</v>
      </c>
      <c r="R24" s="41"/>
      <c r="S24" s="41"/>
      <c r="T24" s="41" t="s">
        <v>42</v>
      </c>
      <c r="U24" s="41"/>
      <c r="W24" s="41" t="s">
        <v>41</v>
      </c>
      <c r="X24" s="41" t="s">
        <v>42</v>
      </c>
    </row>
    <row r="25" spans="1:27" s="33" customFormat="1" ht="12.75" customHeight="1" thickTop="1">
      <c r="A25" s="33" t="s">
        <v>209</v>
      </c>
      <c r="B25" s="33">
        <v>21</v>
      </c>
      <c r="C25" s="42">
        <f>+Daten!P5</f>
        <v>0.375</v>
      </c>
      <c r="D25" s="33">
        <v>81</v>
      </c>
      <c r="E25" s="33">
        <v>1</v>
      </c>
      <c r="F25" s="43" t="s">
        <v>15</v>
      </c>
      <c r="G25" s="33">
        <v>4</v>
      </c>
      <c r="H25" s="44" t="str">
        <f ca="1">IF('wJ11-14'!Y31="","4. Gruppe A",INDIRECT(ADDRESS(MATCH(G25,$A$1:$A$22,0),MATCH(F25,$A$8:$AD$8,0))))</f>
        <v>MTV Eiche Schönebeck</v>
      </c>
      <c r="I25" s="45" t="s">
        <v>23</v>
      </c>
      <c r="J25" s="33">
        <v>15</v>
      </c>
      <c r="K25" s="44" t="str">
        <f ca="1">IF('wJ11-14'!Y31="","5. Gruppe B",INDIRECT(ADDRESS(MATCH(J25,$A$1:$A$22,0),MATCH(F25,$A$8:$AD$8,0))))</f>
        <v>TV Mahndorf</v>
      </c>
      <c r="L25" s="43" t="s">
        <v>17</v>
      </c>
      <c r="M25" s="33">
        <v>4</v>
      </c>
      <c r="N25" s="44" t="str">
        <f ca="1">IF('wJ 15-18'!Y31="","4. Gruppe E",INDIRECT(ADDRESS(MATCH(M25,$A$1:$A$22,0),MATCH(L25,$A$8:$AD$8,0))))</f>
        <v>SV Diepoldshofen</v>
      </c>
      <c r="O25" s="193" t="s">
        <v>309</v>
      </c>
      <c r="P25" s="33">
        <v>43</v>
      </c>
      <c r="Q25" s="45" t="s">
        <v>22</v>
      </c>
      <c r="R25" s="48">
        <v>29</v>
      </c>
      <c r="S25" s="47">
        <f aca="true" t="shared" si="0" ref="S25:S41">IF(P25="","",IF(P25&gt;R25,2,IF(P25&lt;R25,0,1)))</f>
        <v>2</v>
      </c>
      <c r="T25" s="45" t="s">
        <v>22</v>
      </c>
      <c r="U25" s="48">
        <f aca="true" t="shared" si="1" ref="U25:U41">IF(R25="","",IF(R25&gt;P25,2,IF(R25&lt;P25,0,1)))</f>
        <v>0</v>
      </c>
      <c r="W25" s="45" t="s">
        <v>43</v>
      </c>
      <c r="X25" s="45" t="s">
        <v>43</v>
      </c>
      <c r="Z25" s="33" t="s">
        <v>81</v>
      </c>
      <c r="AA25" s="33" t="s">
        <v>91</v>
      </c>
    </row>
    <row r="26" spans="1:27" s="33" customFormat="1" ht="12.75" customHeight="1">
      <c r="A26" s="33" t="s">
        <v>210</v>
      </c>
      <c r="B26" s="61">
        <v>21</v>
      </c>
      <c r="D26" s="33">
        <f aca="true" t="shared" si="2" ref="D26:D64">+D25+1</f>
        <v>82</v>
      </c>
      <c r="E26" s="33">
        <v>2</v>
      </c>
      <c r="F26" s="43" t="s">
        <v>15</v>
      </c>
      <c r="G26" s="33">
        <v>14</v>
      </c>
      <c r="H26" s="44" t="str">
        <f ca="1">IF('wJ11-14'!Y31="","4. Gruppe B",INDIRECT(ADDRESS(MATCH(G26,$A$1:$A$22,0),MATCH(F26,$A$8:$AD$8,0))))</f>
        <v>TV Berkenbaum</v>
      </c>
      <c r="I26" s="45" t="s">
        <v>23</v>
      </c>
      <c r="J26" s="33">
        <v>5</v>
      </c>
      <c r="K26" s="44" t="str">
        <f ca="1">IF('wJ11-14'!Y31="","5. Gruppe A",INDIRECT(ADDRESS(MATCH(J26,$A$1:$A$22,0),MATCH(F26,$A$8:$AD$8,0))))</f>
        <v>TuS Meinerzhagen</v>
      </c>
      <c r="L26" s="43" t="s">
        <v>17</v>
      </c>
      <c r="M26" s="33">
        <v>5</v>
      </c>
      <c r="N26" s="44" t="str">
        <f ca="1">IF('wJ 15-18'!Y31="","5. Gruppe E",INDIRECT(ADDRESS(MATCH(M26,$A$1:$A$22,0),MATCH(L26,$A$8:$AD$8,0))))</f>
        <v>TV Kierdorf 1962</v>
      </c>
      <c r="O26" s="193" t="s">
        <v>362</v>
      </c>
      <c r="P26" s="33">
        <v>40</v>
      </c>
      <c r="Q26" s="45" t="s">
        <v>22</v>
      </c>
      <c r="R26" s="48">
        <v>22</v>
      </c>
      <c r="S26" s="47">
        <f t="shared" si="0"/>
        <v>2</v>
      </c>
      <c r="T26" s="45" t="s">
        <v>22</v>
      </c>
      <c r="U26" s="48">
        <f t="shared" si="1"/>
        <v>0</v>
      </c>
      <c r="W26" s="45" t="s">
        <v>43</v>
      </c>
      <c r="X26" s="45" t="s">
        <v>43</v>
      </c>
      <c r="Z26" s="33" t="s">
        <v>81</v>
      </c>
      <c r="AA26" s="33" t="s">
        <v>91</v>
      </c>
    </row>
    <row r="27" spans="1:27" s="33" customFormat="1" ht="12.75" customHeight="1">
      <c r="A27" s="33" t="s">
        <v>217</v>
      </c>
      <c r="B27" s="61">
        <v>21</v>
      </c>
      <c r="D27" s="33">
        <f t="shared" si="2"/>
        <v>83</v>
      </c>
      <c r="E27" s="33">
        <v>3</v>
      </c>
      <c r="F27" s="43" t="s">
        <v>16</v>
      </c>
      <c r="G27" s="33">
        <v>4</v>
      </c>
      <c r="H27" s="44" t="str">
        <f ca="1">IF('mJ11-14'!Y31="","4. Gruppe C",INDIRECT(ADDRESS(MATCH(G27,$A$1:$A$22,0),MATCH(F27,$A$8:$AD$8,0))))</f>
        <v>TSV Ohorn</v>
      </c>
      <c r="I27" s="45" t="s">
        <v>23</v>
      </c>
      <c r="J27" s="33">
        <v>15</v>
      </c>
      <c r="K27" s="44" t="str">
        <f ca="1">IF('mJ11-14'!Y31="","5. Gruppe D",INDIRECT(ADDRESS(MATCH(J27,$A$1:$A$22,0),MATCH(F27,$A$8:$AD$8,0))))</f>
        <v>TV "Frisch Auf" Altenbochum</v>
      </c>
      <c r="L27" s="43" t="s">
        <v>18</v>
      </c>
      <c r="M27" s="33">
        <v>4</v>
      </c>
      <c r="N27" s="44" t="str">
        <f ca="1">IF('mJ 15-18'!Y31="","4. Gruppe G",INDIRECT(ADDRESS(MATCH(M27,$A$1:$A$22,0),MATCH(L27,$A$8:$AD$8,0))))</f>
        <v>TV Jahn Bad Lippspringe</v>
      </c>
      <c r="O27" s="193" t="s">
        <v>363</v>
      </c>
      <c r="P27" s="33">
        <v>39</v>
      </c>
      <c r="Q27" s="45" t="s">
        <v>22</v>
      </c>
      <c r="R27" s="48">
        <v>19</v>
      </c>
      <c r="S27" s="47">
        <f t="shared" si="0"/>
        <v>2</v>
      </c>
      <c r="T27" s="45" t="s">
        <v>22</v>
      </c>
      <c r="U27" s="48">
        <f t="shared" si="1"/>
        <v>0</v>
      </c>
      <c r="W27" s="45" t="s">
        <v>43</v>
      </c>
      <c r="X27" s="45" t="s">
        <v>43</v>
      </c>
      <c r="Z27" s="33" t="s">
        <v>81</v>
      </c>
      <c r="AA27" s="33" t="s">
        <v>91</v>
      </c>
    </row>
    <row r="28" spans="1:27" s="33" customFormat="1" ht="12.75" customHeight="1">
      <c r="A28" s="33" t="s">
        <v>218</v>
      </c>
      <c r="B28" s="62">
        <v>21</v>
      </c>
      <c r="C28" s="49"/>
      <c r="D28" s="49">
        <f t="shared" si="2"/>
        <v>84</v>
      </c>
      <c r="E28" s="49">
        <v>4</v>
      </c>
      <c r="F28" s="50" t="s">
        <v>16</v>
      </c>
      <c r="G28" s="49">
        <v>14</v>
      </c>
      <c r="H28" s="51" t="str">
        <f ca="1">IF('mJ11-14'!Y31="","4. Gruppe D",INDIRECT(ADDRESS(MATCH(G28,$A$1:$A$22,0),MATCH(F28,$A$8:$AD$8,0))))</f>
        <v>TSV Marienfelde</v>
      </c>
      <c r="I28" s="52" t="s">
        <v>23</v>
      </c>
      <c r="J28" s="49">
        <v>5</v>
      </c>
      <c r="K28" s="51" t="str">
        <f ca="1">IF('mJ11-14'!Y31="","5. Gruppe C",INDIRECT(ADDRESS(MATCH(J28,$A$1:$A$22,0),MATCH(F28,$A$8:$AD$8,0))))</f>
        <v>Kölner TB</v>
      </c>
      <c r="L28" s="50" t="s">
        <v>18</v>
      </c>
      <c r="M28" s="49">
        <v>5</v>
      </c>
      <c r="N28" s="51" t="str">
        <f ca="1">IF('mJ 15-18'!Y31="","5. Gruppe G",INDIRECT(ADDRESS(MATCH(M28,$A$1:$A$22,0),MATCH(L28,$A$8:$AD$8,0))))</f>
        <v>VfL Waiblingen</v>
      </c>
      <c r="O28" s="194" t="s">
        <v>364</v>
      </c>
      <c r="P28" s="49">
        <v>35</v>
      </c>
      <c r="Q28" s="52" t="s">
        <v>22</v>
      </c>
      <c r="R28" s="55">
        <v>31</v>
      </c>
      <c r="S28" s="54">
        <f t="shared" si="0"/>
        <v>2</v>
      </c>
      <c r="T28" s="52" t="s">
        <v>22</v>
      </c>
      <c r="U28" s="55">
        <f t="shared" si="1"/>
        <v>0</v>
      </c>
      <c r="W28" s="52" t="s">
        <v>43</v>
      </c>
      <c r="X28" s="52" t="s">
        <v>43</v>
      </c>
      <c r="Z28" s="33" t="s">
        <v>81</v>
      </c>
      <c r="AA28" s="33" t="s">
        <v>91</v>
      </c>
    </row>
    <row r="29" spans="1:27" ht="12.75">
      <c r="A29" s="33" t="s">
        <v>231</v>
      </c>
      <c r="B29" s="33">
        <f>+B25+1</f>
        <v>22</v>
      </c>
      <c r="C29" s="42">
        <f>+Daten!P6</f>
        <v>0.3923611111111111</v>
      </c>
      <c r="D29" s="33">
        <f t="shared" si="2"/>
        <v>85</v>
      </c>
      <c r="E29" s="33">
        <v>1</v>
      </c>
      <c r="F29" s="43" t="s">
        <v>17</v>
      </c>
      <c r="G29" s="33">
        <v>4</v>
      </c>
      <c r="H29" s="44" t="str">
        <f ca="1">IF('wJ 15-18'!Y31="","4. Gruppe E",INDIRECT(ADDRESS(MATCH(G29,$A$1:$A$22,0),MATCH(F29,$A$8:$AD$8,0))))</f>
        <v>SV Diepoldshofen</v>
      </c>
      <c r="I29" s="45" t="s">
        <v>23</v>
      </c>
      <c r="J29" s="33">
        <v>15</v>
      </c>
      <c r="K29" s="44" t="str">
        <f ca="1">IF('wJ 15-18'!Y31="","5. Gruppe F",INDIRECT(ADDRESS(MATCH(J29,$A$1:$A$22,0),MATCH(F29,$A$8:$AD$8,0))))</f>
        <v>TV Berkenbaum</v>
      </c>
      <c r="L29" s="43" t="s">
        <v>15</v>
      </c>
      <c r="M29" s="33">
        <v>4</v>
      </c>
      <c r="N29" s="44" t="str">
        <f ca="1">IF('wJ11-14'!Y31="","4. Gruppe A",INDIRECT(ADDRESS(MATCH(M29,$A$1:$A$22,0),MATCH(L29,$A$8:$AD$8,0))))</f>
        <v>MTV Eiche Schönebeck</v>
      </c>
      <c r="O29" s="193" t="s">
        <v>298</v>
      </c>
      <c r="P29" s="33">
        <v>36</v>
      </c>
      <c r="Q29" s="45" t="s">
        <v>22</v>
      </c>
      <c r="R29" s="48">
        <v>31</v>
      </c>
      <c r="S29" s="47">
        <f t="shared" si="0"/>
        <v>2</v>
      </c>
      <c r="T29" s="45" t="s">
        <v>22</v>
      </c>
      <c r="U29" s="48">
        <f t="shared" si="1"/>
        <v>0</v>
      </c>
      <c r="W29" s="45" t="s">
        <v>43</v>
      </c>
      <c r="X29" s="45" t="s">
        <v>43</v>
      </c>
      <c r="Z29" s="33" t="s">
        <v>81</v>
      </c>
      <c r="AA29" s="33" t="s">
        <v>91</v>
      </c>
    </row>
    <row r="30" spans="1:27" ht="12.75">
      <c r="A30" s="33" t="s">
        <v>232</v>
      </c>
      <c r="B30" s="61">
        <v>22</v>
      </c>
      <c r="C30" s="33"/>
      <c r="D30" s="33">
        <f t="shared" si="2"/>
        <v>86</v>
      </c>
      <c r="E30" s="33">
        <v>2</v>
      </c>
      <c r="F30" s="43" t="s">
        <v>17</v>
      </c>
      <c r="G30" s="33">
        <v>14</v>
      </c>
      <c r="H30" s="44" t="str">
        <f ca="1">IF('wJ 15-18'!Y31="","4. Gruppe F",INDIRECT(ADDRESS(MATCH(G30,$A$1:$A$22,0),MATCH(F30,$A$8:$AD$8,0))))</f>
        <v>TSV Wuchzenhofen</v>
      </c>
      <c r="I30" s="45" t="s">
        <v>23</v>
      </c>
      <c r="J30" s="33">
        <v>5</v>
      </c>
      <c r="K30" s="44" t="str">
        <f ca="1">IF('wJ 15-18'!Y31="","5. Gruppe E",INDIRECT(ADDRESS(MATCH(J30,$A$1:$A$22,0),MATCH(F30,$A$8:$AD$8,0))))</f>
        <v>TV Kierdorf 1962</v>
      </c>
      <c r="L30" s="43" t="s">
        <v>15</v>
      </c>
      <c r="M30" s="33">
        <v>5</v>
      </c>
      <c r="N30" s="44" t="str">
        <f ca="1">IF('wJ11-14'!Y31="","5. Gruppe A",INDIRECT(ADDRESS(MATCH(M30,$A$1:$A$22,0),MATCH(L30,$A$8:$AD$8,0))))</f>
        <v>TuS Meinerzhagen</v>
      </c>
      <c r="O30" s="193" t="s">
        <v>321</v>
      </c>
      <c r="P30" s="33">
        <v>39</v>
      </c>
      <c r="Q30" s="45" t="s">
        <v>22</v>
      </c>
      <c r="R30" s="48">
        <v>29</v>
      </c>
      <c r="S30" s="47">
        <f t="shared" si="0"/>
        <v>2</v>
      </c>
      <c r="T30" s="45" t="s">
        <v>22</v>
      </c>
      <c r="U30" s="48">
        <f t="shared" si="1"/>
        <v>0</v>
      </c>
      <c r="W30" s="45" t="s">
        <v>43</v>
      </c>
      <c r="X30" s="45" t="s">
        <v>43</v>
      </c>
      <c r="Z30" s="33" t="s">
        <v>81</v>
      </c>
      <c r="AA30" s="33" t="s">
        <v>91</v>
      </c>
    </row>
    <row r="31" spans="1:27" ht="12.75">
      <c r="A31" s="33" t="s">
        <v>242</v>
      </c>
      <c r="B31" s="61">
        <v>22</v>
      </c>
      <c r="C31" s="33"/>
      <c r="D31" s="33">
        <f t="shared" si="2"/>
        <v>87</v>
      </c>
      <c r="E31" s="33">
        <v>3</v>
      </c>
      <c r="F31" s="43" t="s">
        <v>18</v>
      </c>
      <c r="G31" s="33">
        <v>4</v>
      </c>
      <c r="H31" s="44" t="str">
        <f ca="1">IF('mJ 15-18'!Y31="","4. Gruppe G",INDIRECT(ADDRESS(MATCH(G31,$A$1:$A$22,0),MATCH(F31,$A$8:$AD$8,0))))</f>
        <v>TV Jahn Bad Lippspringe</v>
      </c>
      <c r="I31" s="45" t="s">
        <v>23</v>
      </c>
      <c r="J31" s="33">
        <v>15</v>
      </c>
      <c r="K31" s="44" t="str">
        <f ca="1">IF('mJ 15-18'!Y31="","5. Gruppe H",INDIRECT(ADDRESS(MATCH(J31,$A$1:$A$22,0),MATCH(F31,$A$8:$AD$8,0))))</f>
        <v>SV Werder Bremen</v>
      </c>
      <c r="L31" s="43" t="s">
        <v>16</v>
      </c>
      <c r="M31" s="33">
        <v>4</v>
      </c>
      <c r="N31" s="44" t="str">
        <f ca="1">IF('mJ11-14'!Y31="","4. Gruppe C",INDIRECT(ADDRESS(MATCH(M31,$A$1:$A$22,0),MATCH(L31,$A$8:$AD$8,0))))</f>
        <v>TSV Ohorn</v>
      </c>
      <c r="O31" s="193" t="s">
        <v>310</v>
      </c>
      <c r="P31" s="33">
        <v>49</v>
      </c>
      <c r="Q31" s="45" t="s">
        <v>22</v>
      </c>
      <c r="R31" s="48">
        <v>47</v>
      </c>
      <c r="S31" s="47">
        <f t="shared" si="0"/>
        <v>2</v>
      </c>
      <c r="T31" s="45" t="s">
        <v>22</v>
      </c>
      <c r="U31" s="48">
        <f t="shared" si="1"/>
        <v>0</v>
      </c>
      <c r="W31" s="45" t="s">
        <v>43</v>
      </c>
      <c r="X31" s="45" t="s">
        <v>43</v>
      </c>
      <c r="Z31" s="33" t="s">
        <v>81</v>
      </c>
      <c r="AA31" s="33" t="s">
        <v>91</v>
      </c>
    </row>
    <row r="32" spans="1:27" ht="12.75">
      <c r="A32" s="33" t="s">
        <v>243</v>
      </c>
      <c r="B32" s="62">
        <v>22</v>
      </c>
      <c r="C32" s="184"/>
      <c r="D32" s="49">
        <f t="shared" si="2"/>
        <v>88</v>
      </c>
      <c r="E32" s="49">
        <v>4</v>
      </c>
      <c r="F32" s="50" t="s">
        <v>18</v>
      </c>
      <c r="G32" s="49">
        <v>14</v>
      </c>
      <c r="H32" s="51" t="str">
        <f ca="1">IF('mJ 15-18'!Y31="","4. Gruppe H",INDIRECT(ADDRESS(MATCH(G32,$A$1:$A$22,0),MATCH(F32,$A$8:$AD$8,0))))</f>
        <v>TSV Wuchzenhofen</v>
      </c>
      <c r="I32" s="52" t="s">
        <v>23</v>
      </c>
      <c r="J32" s="49">
        <v>5</v>
      </c>
      <c r="K32" s="51" t="str">
        <f ca="1">IF('mJ 15-18'!Y31="","5. Gruppe G",INDIRECT(ADDRESS(MATCH(J32,$A$1:$A$22,0),MATCH(F32,$A$8:$AD$8,0))))</f>
        <v>VfL Waiblingen</v>
      </c>
      <c r="L32" s="50" t="s">
        <v>16</v>
      </c>
      <c r="M32" s="49">
        <v>5</v>
      </c>
      <c r="N32" s="51" t="str">
        <f ca="1">IF('mJ11-14'!Y31="","5. Gruppe C",INDIRECT(ADDRESS(MATCH(M32,$A$1:$A$22,0),MATCH(L32,$A$8:$AD$8,0))))</f>
        <v>Kölner TB</v>
      </c>
      <c r="O32" s="194" t="s">
        <v>365</v>
      </c>
      <c r="P32" s="49">
        <v>41</v>
      </c>
      <c r="Q32" s="52" t="s">
        <v>22</v>
      </c>
      <c r="R32" s="55">
        <v>32</v>
      </c>
      <c r="S32" s="54">
        <f t="shared" si="0"/>
        <v>2</v>
      </c>
      <c r="T32" s="52" t="s">
        <v>22</v>
      </c>
      <c r="U32" s="55">
        <f t="shared" si="1"/>
        <v>0</v>
      </c>
      <c r="W32" s="52" t="s">
        <v>43</v>
      </c>
      <c r="X32" s="52" t="s">
        <v>43</v>
      </c>
      <c r="Z32" s="33" t="s">
        <v>81</v>
      </c>
      <c r="AA32" s="33" t="s">
        <v>91</v>
      </c>
    </row>
    <row r="33" spans="1:27" ht="12.75" customHeight="1">
      <c r="A33" s="33" t="s">
        <v>211</v>
      </c>
      <c r="B33" s="33">
        <f>+B29+1</f>
        <v>23</v>
      </c>
      <c r="C33" s="42">
        <f>+Daten!P7</f>
        <v>0.4097222222222222</v>
      </c>
      <c r="D33" s="33">
        <f t="shared" si="2"/>
        <v>89</v>
      </c>
      <c r="E33" s="33">
        <v>1</v>
      </c>
      <c r="F33" s="43" t="s">
        <v>15</v>
      </c>
      <c r="G33" s="33"/>
      <c r="H33" s="44" t="str">
        <f>IF(P25="","Platz 9 / Verlierer "&amp;D25,IF(S25=0,H25,K25))</f>
        <v>TV Mahndorf</v>
      </c>
      <c r="I33" s="45" t="s">
        <v>23</v>
      </c>
      <c r="J33" s="33"/>
      <c r="K33" s="44" t="str">
        <f>IF(P26="","Verlierer "&amp;D26,IF(S26=0,H26,K26))</f>
        <v>TuS Meinerzhagen</v>
      </c>
      <c r="L33" s="43" t="s">
        <v>17</v>
      </c>
      <c r="M33" s="33">
        <v>15</v>
      </c>
      <c r="N33" s="44" t="str">
        <f ca="1">IF('wJ 15-18'!Y31="","5. Gruppe H",INDIRECT(ADDRESS(MATCH(M33,$A$1:$A$22,0),MATCH(L33,$A$8:$AD$8,0))))</f>
        <v>TV Berkenbaum</v>
      </c>
      <c r="O33" s="193" t="s">
        <v>366</v>
      </c>
      <c r="P33" s="33">
        <v>30</v>
      </c>
      <c r="Q33" s="45" t="s">
        <v>22</v>
      </c>
      <c r="R33" s="48">
        <v>35</v>
      </c>
      <c r="S33" s="47">
        <f t="shared" si="0"/>
        <v>0</v>
      </c>
      <c r="T33" s="45" t="s">
        <v>22</v>
      </c>
      <c r="U33" s="48">
        <f t="shared" si="1"/>
        <v>2</v>
      </c>
      <c r="W33" s="45" t="s">
        <v>43</v>
      </c>
      <c r="X33" s="45" t="s">
        <v>43</v>
      </c>
      <c r="Z33" s="33" t="s">
        <v>82</v>
      </c>
      <c r="AA33" s="33" t="s">
        <v>88</v>
      </c>
    </row>
    <row r="34" spans="1:27" ht="12.75">
      <c r="A34" s="33" t="s">
        <v>212</v>
      </c>
      <c r="B34" s="61">
        <v>23</v>
      </c>
      <c r="C34" s="33"/>
      <c r="D34" s="33">
        <f t="shared" si="2"/>
        <v>90</v>
      </c>
      <c r="E34" s="33">
        <v>2</v>
      </c>
      <c r="F34" s="43" t="s">
        <v>15</v>
      </c>
      <c r="G34" s="56"/>
      <c r="H34" s="44" t="str">
        <f>IF(P25="","Platz 7 / Sieger "&amp;D25,IF(S25=2,H25,K25))</f>
        <v>MTV Eiche Schönebeck</v>
      </c>
      <c r="I34" s="130" t="s">
        <v>23</v>
      </c>
      <c r="J34" s="56"/>
      <c r="K34" s="44" t="str">
        <f>IF(P26="","Sieger "&amp;D26,IF(S26=2,H26,K26))</f>
        <v>TV Berkenbaum</v>
      </c>
      <c r="L34" s="57" t="s">
        <v>17</v>
      </c>
      <c r="M34" s="56">
        <v>14</v>
      </c>
      <c r="N34" s="44" t="str">
        <f ca="1">IF('wJ 15-18'!Y31="","4. Gruppe H",INDIRECT(ADDRESS(MATCH(M34,$A$1:$A$22,0),MATCH(L34,$A$8:$AD$8,0))))</f>
        <v>TSV Wuchzenhofen</v>
      </c>
      <c r="O34" s="193" t="s">
        <v>320</v>
      </c>
      <c r="P34" s="33">
        <v>50</v>
      </c>
      <c r="Q34" s="45" t="s">
        <v>22</v>
      </c>
      <c r="R34" s="48">
        <v>48</v>
      </c>
      <c r="S34" s="47">
        <f t="shared" si="0"/>
        <v>2</v>
      </c>
      <c r="T34" s="45" t="s">
        <v>22</v>
      </c>
      <c r="U34" s="48">
        <f t="shared" si="1"/>
        <v>0</v>
      </c>
      <c r="W34" s="45" t="s">
        <v>43</v>
      </c>
      <c r="X34" s="45" t="s">
        <v>43</v>
      </c>
      <c r="Z34" s="33" t="s">
        <v>82</v>
      </c>
      <c r="AA34" s="33" t="s">
        <v>89</v>
      </c>
    </row>
    <row r="35" spans="1:27" ht="12.75">
      <c r="A35" s="33" t="s">
        <v>219</v>
      </c>
      <c r="B35" s="61">
        <v>23</v>
      </c>
      <c r="C35" s="33"/>
      <c r="D35" s="33">
        <f t="shared" si="2"/>
        <v>91</v>
      </c>
      <c r="E35" s="33">
        <v>3</v>
      </c>
      <c r="F35" s="43" t="s">
        <v>16</v>
      </c>
      <c r="G35" s="33"/>
      <c r="H35" s="44" t="str">
        <f>IF(P27="","Platz 9 / Verlierer "&amp;D27,IF(S27=0,H27,K27))</f>
        <v>TV "Frisch Auf" Altenbochum</v>
      </c>
      <c r="I35" s="45" t="s">
        <v>23</v>
      </c>
      <c r="J35" s="33"/>
      <c r="K35" s="44" t="str">
        <f>IF(P28="","Verlierer "&amp;D28,IF(S28=0,H28,K28))</f>
        <v>Kölner TB</v>
      </c>
      <c r="L35" s="43" t="s">
        <v>18</v>
      </c>
      <c r="M35" s="33">
        <v>14</v>
      </c>
      <c r="N35" s="44" t="str">
        <f ca="1">IF('mJ 15-18'!Y31="","4. Gruppe F",INDIRECT(ADDRESS(MATCH(M35,$A$1:$A$22,0),MATCH(L35,$A$8:$AD$8,0))))</f>
        <v>TSV Wuchzenhofen</v>
      </c>
      <c r="O35" s="193" t="s">
        <v>304</v>
      </c>
      <c r="P35" s="33">
        <v>27</v>
      </c>
      <c r="Q35" s="45" t="s">
        <v>22</v>
      </c>
      <c r="R35" s="48">
        <v>37</v>
      </c>
      <c r="S35" s="47">
        <f t="shared" si="0"/>
        <v>0</v>
      </c>
      <c r="T35" s="45" t="s">
        <v>22</v>
      </c>
      <c r="U35" s="48">
        <f t="shared" si="1"/>
        <v>2</v>
      </c>
      <c r="W35" s="45" t="s">
        <v>43</v>
      </c>
      <c r="X35" s="45" t="s">
        <v>43</v>
      </c>
      <c r="Z35" s="33" t="s">
        <v>82</v>
      </c>
      <c r="AA35" s="33" t="s">
        <v>88</v>
      </c>
    </row>
    <row r="36" spans="1:27" ht="12.75">
      <c r="A36" s="33" t="s">
        <v>220</v>
      </c>
      <c r="B36" s="62">
        <v>23</v>
      </c>
      <c r="C36" s="49"/>
      <c r="D36" s="49">
        <f t="shared" si="2"/>
        <v>92</v>
      </c>
      <c r="E36" s="49">
        <v>4</v>
      </c>
      <c r="F36" s="50" t="s">
        <v>16</v>
      </c>
      <c r="G36" s="49"/>
      <c r="H36" s="51" t="str">
        <f>IF(P27="","Platz 7 / Sieger "&amp;D27,IF(S27=2,H27,K27))</f>
        <v>TSV Ohorn</v>
      </c>
      <c r="I36" s="52" t="s">
        <v>23</v>
      </c>
      <c r="J36" s="49"/>
      <c r="K36" s="51" t="str">
        <f>IF(P28="","Sieger "&amp;D28,IF(S28=2,H28,K28))</f>
        <v>TSV Marienfelde</v>
      </c>
      <c r="L36" s="50" t="s">
        <v>18</v>
      </c>
      <c r="M36" s="49">
        <v>15</v>
      </c>
      <c r="N36" s="51" t="str">
        <f ca="1">IF('mJ 15-18'!Y31="","5. Gruppe F",INDIRECT(ADDRESS(MATCH(M36,$A$1:$A$22,0),MATCH(L36,$A$8:$AD$8,0))))</f>
        <v>SV Werder Bremen</v>
      </c>
      <c r="O36" s="194" t="s">
        <v>363</v>
      </c>
      <c r="P36" s="49">
        <v>39</v>
      </c>
      <c r="Q36" s="52" t="s">
        <v>22</v>
      </c>
      <c r="R36" s="55">
        <v>19</v>
      </c>
      <c r="S36" s="54">
        <f t="shared" si="0"/>
        <v>2</v>
      </c>
      <c r="T36" s="52" t="s">
        <v>22</v>
      </c>
      <c r="U36" s="55">
        <f t="shared" si="1"/>
        <v>0</v>
      </c>
      <c r="W36" s="52" t="s">
        <v>43</v>
      </c>
      <c r="X36" s="52" t="s">
        <v>43</v>
      </c>
      <c r="Z36" s="33" t="s">
        <v>82</v>
      </c>
      <c r="AA36" s="33" t="s">
        <v>89</v>
      </c>
    </row>
    <row r="37" spans="1:27" ht="12.75">
      <c r="A37" s="33" t="s">
        <v>233</v>
      </c>
      <c r="B37" s="33">
        <f>+B33+1</f>
        <v>24</v>
      </c>
      <c r="C37" s="42">
        <f>+Daten!P8</f>
        <v>0.4270833333333333</v>
      </c>
      <c r="D37" s="33">
        <f t="shared" si="2"/>
        <v>93</v>
      </c>
      <c r="E37" s="33">
        <v>1</v>
      </c>
      <c r="F37" s="43" t="s">
        <v>17</v>
      </c>
      <c r="G37" s="33"/>
      <c r="H37" s="44" t="str">
        <f>IF($S$29="","Platz 9 / Verlierer "&amp;D29,IF(S29=0,H29,K29))</f>
        <v>TV Berkenbaum</v>
      </c>
      <c r="I37" s="45" t="s">
        <v>23</v>
      </c>
      <c r="J37" s="33"/>
      <c r="K37" s="44" t="str">
        <f>IF($S$30="","Verlierer "&amp;D30,IF(S30=0,H30,K30))</f>
        <v>TV Kierdorf 1962</v>
      </c>
      <c r="L37" s="43" t="s">
        <v>15</v>
      </c>
      <c r="M37" s="33">
        <v>14</v>
      </c>
      <c r="N37" s="44" t="str">
        <f ca="1">IF('wJ11-14'!Y31="","4. Gruppe B",INDIRECT(ADDRESS(MATCH(M37,$A$1:$A$22,0),MATCH(L37,$A$8:$AD$8,0))))</f>
        <v>TV Berkenbaum</v>
      </c>
      <c r="O37" s="193" t="s">
        <v>367</v>
      </c>
      <c r="P37" s="33">
        <v>33</v>
      </c>
      <c r="Q37" s="45" t="s">
        <v>22</v>
      </c>
      <c r="R37" s="48">
        <v>32</v>
      </c>
      <c r="S37" s="47">
        <f t="shared" si="0"/>
        <v>2</v>
      </c>
      <c r="T37" s="45" t="s">
        <v>22</v>
      </c>
      <c r="U37" s="48">
        <f t="shared" si="1"/>
        <v>0</v>
      </c>
      <c r="W37" s="45" t="s">
        <v>43</v>
      </c>
      <c r="X37" s="45" t="s">
        <v>43</v>
      </c>
      <c r="Z37" s="33" t="s">
        <v>82</v>
      </c>
      <c r="AA37" s="33" t="s">
        <v>88</v>
      </c>
    </row>
    <row r="38" spans="1:27" ht="12.75">
      <c r="A38" s="33" t="s">
        <v>234</v>
      </c>
      <c r="B38" s="61">
        <v>24</v>
      </c>
      <c r="C38" s="33"/>
      <c r="D38" s="33">
        <f t="shared" si="2"/>
        <v>94</v>
      </c>
      <c r="E38" s="33">
        <v>2</v>
      </c>
      <c r="F38" s="43" t="s">
        <v>17</v>
      </c>
      <c r="G38" s="33"/>
      <c r="H38" s="44" t="str">
        <f>IF($S$29="","Platz 7 / Sieger "&amp;D29,IF(S29=2,H29,K29))</f>
        <v>SV Diepoldshofen</v>
      </c>
      <c r="I38" s="45" t="s">
        <v>23</v>
      </c>
      <c r="J38" s="33"/>
      <c r="K38" s="44" t="str">
        <f>IF($S$30="","Sieger "&amp;D30,IF(S30=2,H30,K30))</f>
        <v>TSV Wuchzenhofen</v>
      </c>
      <c r="L38" s="43" t="s">
        <v>15</v>
      </c>
      <c r="M38" s="33">
        <v>15</v>
      </c>
      <c r="N38" s="44" t="str">
        <f ca="1">IF('wJ11-14'!Y31="","5. Gruppe B",INDIRECT(ADDRESS(MATCH(M38,$A$1:$A$22,0),MATCH(L38,$A$8:$AD$8,0))))</f>
        <v>TV Mahndorf</v>
      </c>
      <c r="O38" s="193" t="s">
        <v>299</v>
      </c>
      <c r="P38" s="33">
        <v>39</v>
      </c>
      <c r="Q38" s="45" t="s">
        <v>22</v>
      </c>
      <c r="R38" s="48">
        <v>26</v>
      </c>
      <c r="S38" s="47">
        <f t="shared" si="0"/>
        <v>2</v>
      </c>
      <c r="T38" s="45" t="s">
        <v>22</v>
      </c>
      <c r="U38" s="48">
        <f t="shared" si="1"/>
        <v>0</v>
      </c>
      <c r="W38" s="45" t="s">
        <v>43</v>
      </c>
      <c r="X38" s="45" t="s">
        <v>43</v>
      </c>
      <c r="Z38" s="33" t="s">
        <v>82</v>
      </c>
      <c r="AA38" s="33" t="s">
        <v>89</v>
      </c>
    </row>
    <row r="39" spans="1:27" ht="12.75">
      <c r="A39" s="33" t="s">
        <v>244</v>
      </c>
      <c r="B39" s="61">
        <v>24</v>
      </c>
      <c r="C39" s="33"/>
      <c r="D39" s="33">
        <f t="shared" si="2"/>
        <v>95</v>
      </c>
      <c r="E39" s="33">
        <v>3</v>
      </c>
      <c r="F39" s="43" t="s">
        <v>18</v>
      </c>
      <c r="G39" s="33"/>
      <c r="H39" s="44" t="str">
        <f>IF($S$31="","Platz 9 / Verlierer "&amp;D31,IF(S31=0,H31,K31))</f>
        <v>SV Werder Bremen</v>
      </c>
      <c r="I39" s="45" t="s">
        <v>23</v>
      </c>
      <c r="J39" s="33"/>
      <c r="K39" s="44" t="str">
        <f>IF($S$32="","Verlierer "&amp;D32,IF(S32=0,H32,K32))</f>
        <v>VfL Waiblingen</v>
      </c>
      <c r="L39" s="43" t="s">
        <v>16</v>
      </c>
      <c r="M39" s="33">
        <v>15</v>
      </c>
      <c r="N39" s="44" t="str">
        <f ca="1">IF('mJ11-14'!Y31="","5. Gruppe D",INDIRECT(ADDRESS(MATCH(M39,$A$1:$A$22,0),MATCH(L39,$A$8:$AD$8,0))))</f>
        <v>TV "Frisch Auf" Altenbochum</v>
      </c>
      <c r="O39" s="193" t="s">
        <v>305</v>
      </c>
      <c r="P39" s="33">
        <v>38</v>
      </c>
      <c r="Q39" s="45" t="s">
        <v>22</v>
      </c>
      <c r="R39" s="48">
        <v>34</v>
      </c>
      <c r="S39" s="47">
        <f t="shared" si="0"/>
        <v>2</v>
      </c>
      <c r="T39" s="45" t="s">
        <v>22</v>
      </c>
      <c r="U39" s="48">
        <f t="shared" si="1"/>
        <v>0</v>
      </c>
      <c r="W39" s="45" t="s">
        <v>43</v>
      </c>
      <c r="X39" s="45" t="s">
        <v>43</v>
      </c>
      <c r="Z39" s="33" t="s">
        <v>82</v>
      </c>
      <c r="AA39" s="33" t="s">
        <v>88</v>
      </c>
    </row>
    <row r="40" spans="1:27" ht="12.75">
      <c r="A40" s="33" t="s">
        <v>245</v>
      </c>
      <c r="B40" s="62">
        <v>24</v>
      </c>
      <c r="C40" s="184"/>
      <c r="D40" s="49">
        <f t="shared" si="2"/>
        <v>96</v>
      </c>
      <c r="E40" s="49">
        <v>4</v>
      </c>
      <c r="F40" s="50" t="s">
        <v>18</v>
      </c>
      <c r="G40" s="49"/>
      <c r="H40" s="51" t="str">
        <f>IF($S$31="","Platz 7 / Sieger "&amp;D31,IF(S31=2,H31,K31))</f>
        <v>TV Jahn Bad Lippspringe</v>
      </c>
      <c r="I40" s="52" t="s">
        <v>23</v>
      </c>
      <c r="J40" s="49"/>
      <c r="K40" s="51" t="str">
        <f>IF($S$32="","Sieger "&amp;D32,IF(S32=2,H32,K32))</f>
        <v>TSV Wuchzenhofen</v>
      </c>
      <c r="L40" s="50" t="s">
        <v>16</v>
      </c>
      <c r="M40" s="49">
        <v>14</v>
      </c>
      <c r="N40" s="51" t="str">
        <f ca="1">IF('mJ11-14'!Y31="","4. Gruppe D",INDIRECT(ADDRESS(MATCH(M40,$A$1:$A$22,0),MATCH(L40,$A$8:$AD$8,0))))</f>
        <v>TSV Marienfelde</v>
      </c>
      <c r="O40" s="194" t="s">
        <v>368</v>
      </c>
      <c r="P40" s="49">
        <v>32</v>
      </c>
      <c r="Q40" s="52" t="s">
        <v>22</v>
      </c>
      <c r="R40" s="55">
        <v>31</v>
      </c>
      <c r="S40" s="54">
        <f t="shared" si="0"/>
        <v>2</v>
      </c>
      <c r="T40" s="52" t="s">
        <v>22</v>
      </c>
      <c r="U40" s="55">
        <f t="shared" si="1"/>
        <v>0</v>
      </c>
      <c r="W40" s="52" t="s">
        <v>43</v>
      </c>
      <c r="X40" s="52" t="s">
        <v>43</v>
      </c>
      <c r="Z40" s="33" t="s">
        <v>82</v>
      </c>
      <c r="AA40" s="33" t="s">
        <v>89</v>
      </c>
    </row>
    <row r="41" spans="1:27" ht="12.75">
      <c r="A41" s="33" t="s">
        <v>208</v>
      </c>
      <c r="B41" s="33">
        <f aca="true" t="shared" si="3" ref="B41:B65">+B37+1</f>
        <v>25</v>
      </c>
      <c r="C41" s="42">
        <f>+Daten!P9</f>
        <v>0.4583333333333333</v>
      </c>
      <c r="D41" s="33">
        <f t="shared" si="2"/>
        <v>97</v>
      </c>
      <c r="E41" s="33">
        <v>1</v>
      </c>
      <c r="F41" s="43" t="s">
        <v>15</v>
      </c>
      <c r="G41" s="33">
        <v>2</v>
      </c>
      <c r="H41" s="44" t="str">
        <f ca="1">IF('wJ11-14'!Y31="","2. Gruppe A",INDIRECT(ADDRESS(MATCH(G41,$A$1:$A$22,0),MATCH(F41,$A$8:$AD$8,0))))</f>
        <v>TV Sottrum</v>
      </c>
      <c r="I41" s="45" t="s">
        <v>23</v>
      </c>
      <c r="J41" s="33">
        <v>13</v>
      </c>
      <c r="K41" s="44" t="str">
        <f ca="1">IF('wJ11-14'!Y31="","3. Gruppe B",INDIRECT(ADDRESS(MATCH(J41,$A$1:$A$22,0),MATCH(F41,$A$8:$AD$8,0))))</f>
        <v>SV Weiler</v>
      </c>
      <c r="L41" s="43" t="s">
        <v>15</v>
      </c>
      <c r="M41" s="33">
        <v>12</v>
      </c>
      <c r="N41" s="44" t="str">
        <f ca="1">IF('wJ11-14'!Y31="","2. Gruppe B",INDIRECT(ADDRESS(MATCH(M41,$A$1:$A$22,0),MATCH(L41,$A$8:$AD$8,0))))</f>
        <v>SV Diepoldshofen</v>
      </c>
      <c r="O41" s="193" t="s">
        <v>369</v>
      </c>
      <c r="P41" s="33">
        <v>39</v>
      </c>
      <c r="Q41" s="45" t="s">
        <v>22</v>
      </c>
      <c r="R41" s="48">
        <v>33</v>
      </c>
      <c r="S41" s="47">
        <f t="shared" si="0"/>
        <v>2</v>
      </c>
      <c r="T41" s="45" t="s">
        <v>22</v>
      </c>
      <c r="U41" s="48">
        <f t="shared" si="1"/>
        <v>0</v>
      </c>
      <c r="W41" s="45" t="s">
        <v>43</v>
      </c>
      <c r="X41" s="45" t="s">
        <v>43</v>
      </c>
      <c r="Z41" s="33" t="s">
        <v>83</v>
      </c>
      <c r="AA41" s="33" t="s">
        <v>92</v>
      </c>
    </row>
    <row r="42" spans="1:27" ht="12.75">
      <c r="A42" s="33" t="s">
        <v>221</v>
      </c>
      <c r="B42" s="61">
        <f t="shared" si="3"/>
        <v>25</v>
      </c>
      <c r="C42" s="33"/>
      <c r="D42" s="33">
        <f t="shared" si="2"/>
        <v>98</v>
      </c>
      <c r="E42" s="33">
        <v>2</v>
      </c>
      <c r="F42" s="43" t="s">
        <v>16</v>
      </c>
      <c r="G42" s="33">
        <v>2</v>
      </c>
      <c r="H42" s="44" t="str">
        <f ca="1">IF('mJ11-14'!Y31="","2. Gruppe C",INDIRECT(ADDRESS(MATCH(G42,$A$1:$A$22,0),MATCH(F42,$A$8:$AD$8,0))))</f>
        <v>PV Gundernhausen</v>
      </c>
      <c r="I42" s="45" t="s">
        <v>23</v>
      </c>
      <c r="J42" s="33">
        <v>13</v>
      </c>
      <c r="K42" s="44" t="str">
        <f ca="1">IF('mJ11-14'!Y31="","3. Gruppe D",INDIRECT(ADDRESS(MATCH(J42,$A$1:$A$22,0),MATCH(F42,$A$8:$AD$8,0))))</f>
        <v>SV Werder Bremen</v>
      </c>
      <c r="L42" s="43" t="s">
        <v>16</v>
      </c>
      <c r="M42" s="33">
        <v>12</v>
      </c>
      <c r="N42" s="44" t="str">
        <f ca="1">IF('mJ11-14'!Y31="","2. Gruppe D",INDIRECT(ADDRESS(MATCH(M42,$A$1:$A$22,0),MATCH(L42,$A$8:$AD$8,0))))</f>
        <v>TV Reutin</v>
      </c>
      <c r="O42" s="193" t="s">
        <v>370</v>
      </c>
      <c r="P42" s="33">
        <v>41</v>
      </c>
      <c r="Q42" s="45" t="s">
        <v>22</v>
      </c>
      <c r="R42" s="48">
        <v>25</v>
      </c>
      <c r="S42" s="47">
        <f aca="true" t="shared" si="4" ref="S42:S57">IF(P42="","",IF(P42&gt;R42,2,IF(P42&lt;R42,0,1)))</f>
        <v>2</v>
      </c>
      <c r="T42" s="45" t="s">
        <v>22</v>
      </c>
      <c r="U42" s="48">
        <f aca="true" t="shared" si="5" ref="U42:U57">IF(R42="","",IF(R42&gt;P42,2,IF(R42&lt;P42,0,1)))</f>
        <v>0</v>
      </c>
      <c r="W42" s="45" t="s">
        <v>43</v>
      </c>
      <c r="X42" s="45" t="s">
        <v>43</v>
      </c>
      <c r="Z42" s="33" t="s">
        <v>83</v>
      </c>
      <c r="AA42" s="33" t="s">
        <v>92</v>
      </c>
    </row>
    <row r="43" spans="1:27" ht="12.75">
      <c r="A43" s="33" t="s">
        <v>235</v>
      </c>
      <c r="B43" s="61">
        <f t="shared" si="3"/>
        <v>25</v>
      </c>
      <c r="C43" s="33"/>
      <c r="D43" s="33">
        <f t="shared" si="2"/>
        <v>99</v>
      </c>
      <c r="E43" s="33">
        <v>3</v>
      </c>
      <c r="F43" s="43" t="s">
        <v>17</v>
      </c>
      <c r="G43" s="33">
        <v>2</v>
      </c>
      <c r="H43" s="44" t="str">
        <f ca="1">IF('wJ 15-18'!Y31="","2. Gruppe E",INDIRECT(ADDRESS(MATCH(G43,$A$1:$A$22,0),MATCH(F43,$A$8:$AD$8,0))))</f>
        <v>MTV Wohnste</v>
      </c>
      <c r="I43" s="45" t="s">
        <v>23</v>
      </c>
      <c r="J43" s="33">
        <v>13</v>
      </c>
      <c r="K43" s="44" t="str">
        <f ca="1">IF('wJ 15-18'!Y31="","3. Gruppe F",INDIRECT(ADDRESS(MATCH(J43,$A$1:$A$22,0),MATCH(F43,$A$8:$AD$8,0))))</f>
        <v>TSV Babenhausen</v>
      </c>
      <c r="L43" s="43" t="s">
        <v>17</v>
      </c>
      <c r="M43" s="33">
        <v>12</v>
      </c>
      <c r="N43" s="44" t="str">
        <f ca="1">IF('wJ 15-18'!Y31="","2. Gruppe F",INDIRECT(ADDRESS(MATCH(M43,$A$1:$A$22,0),MATCH(L43,$A$8:$AD$8,0))))</f>
        <v>TV Sottrum</v>
      </c>
      <c r="O43" s="193" t="s">
        <v>371</v>
      </c>
      <c r="P43" s="33">
        <v>32</v>
      </c>
      <c r="Q43" s="45" t="s">
        <v>22</v>
      </c>
      <c r="R43" s="48">
        <v>27</v>
      </c>
      <c r="S43" s="47">
        <f t="shared" si="4"/>
        <v>2</v>
      </c>
      <c r="T43" s="45" t="s">
        <v>22</v>
      </c>
      <c r="U43" s="48">
        <f t="shared" si="5"/>
        <v>0</v>
      </c>
      <c r="W43" s="45" t="s">
        <v>43</v>
      </c>
      <c r="X43" s="45" t="s">
        <v>43</v>
      </c>
      <c r="Z43" s="33" t="s">
        <v>83</v>
      </c>
      <c r="AA43" s="33" t="s">
        <v>92</v>
      </c>
    </row>
    <row r="44" spans="1:27" ht="12.75">
      <c r="A44" s="33" t="s">
        <v>246</v>
      </c>
      <c r="B44" s="62">
        <f t="shared" si="3"/>
        <v>25</v>
      </c>
      <c r="C44" s="49"/>
      <c r="D44" s="49">
        <f t="shared" si="2"/>
        <v>100</v>
      </c>
      <c r="E44" s="49">
        <v>4</v>
      </c>
      <c r="F44" s="50" t="s">
        <v>18</v>
      </c>
      <c r="G44" s="49">
        <v>2</v>
      </c>
      <c r="H44" s="51" t="str">
        <f ca="1">IF('mJ 15-18'!Y31="","2. Gruppe G",INDIRECT(ADDRESS(MATCH(G44,$A$1:$A$22,0),MATCH(F44,$A$8:$AD$8,0))))</f>
        <v>TV Sottrum</v>
      </c>
      <c r="I44" s="52" t="s">
        <v>23</v>
      </c>
      <c r="J44" s="49">
        <v>13</v>
      </c>
      <c r="K44" s="51" t="str">
        <f ca="1">IF('mJ 15-18'!Y31="","3. Gruppe H",INDIRECT(ADDRESS(MATCH(J44,$A$1:$A$22,0),MATCH(F44,$A$8:$AD$8,0))))</f>
        <v>MTV Eiche Schönebeck</v>
      </c>
      <c r="L44" s="50" t="s">
        <v>18</v>
      </c>
      <c r="M44" s="49">
        <v>12</v>
      </c>
      <c r="N44" s="51" t="str">
        <f ca="1">IF('mJ 15-18'!Y31="","2. Gruppe H",INDIRECT(ADDRESS(MATCH(M44,$A$1:$A$22,0),MATCH(L44,$A$8:$AD$8,0))))</f>
        <v>TV Kierdorf 1962</v>
      </c>
      <c r="O44" s="194" t="s">
        <v>372</v>
      </c>
      <c r="P44" s="49">
        <v>33</v>
      </c>
      <c r="Q44" s="52" t="s">
        <v>22</v>
      </c>
      <c r="R44" s="55">
        <v>28</v>
      </c>
      <c r="S44" s="54">
        <f t="shared" si="4"/>
        <v>2</v>
      </c>
      <c r="T44" s="52" t="s">
        <v>22</v>
      </c>
      <c r="U44" s="55">
        <f t="shared" si="5"/>
        <v>0</v>
      </c>
      <c r="W44" s="52" t="s">
        <v>43</v>
      </c>
      <c r="X44" s="52" t="s">
        <v>43</v>
      </c>
      <c r="Z44" s="33" t="s">
        <v>83</v>
      </c>
      <c r="AA44" s="33" t="s">
        <v>92</v>
      </c>
    </row>
    <row r="45" spans="1:27" ht="12.75">
      <c r="A45" s="33" t="s">
        <v>213</v>
      </c>
      <c r="B45" s="33">
        <f t="shared" si="3"/>
        <v>26</v>
      </c>
      <c r="C45" s="42">
        <f>+Daten!P10</f>
        <v>0.4756944444444444</v>
      </c>
      <c r="D45" s="33">
        <f t="shared" si="2"/>
        <v>101</v>
      </c>
      <c r="E45" s="33">
        <v>1</v>
      </c>
      <c r="F45" s="43" t="s">
        <v>15</v>
      </c>
      <c r="G45" s="33">
        <v>12</v>
      </c>
      <c r="H45" s="44" t="str">
        <f ca="1">IF('wJ11-14'!Y31="","2. Gruppe B",INDIRECT(ADDRESS(MATCH(G45,$A$1:$A$22,0),MATCH(F45,$A$8:$AD$8,0))))</f>
        <v>SV Diepoldshofen</v>
      </c>
      <c r="I45" s="45" t="s">
        <v>23</v>
      </c>
      <c r="J45" s="33">
        <v>3</v>
      </c>
      <c r="K45" s="44" t="str">
        <f ca="1">IF('wJ11-14'!Y31="","3. Gruppe A",INDIRECT(ADDRESS(MATCH(J45,$A$1:$A$22,0),MATCH(F45,$A$8:$AD$8,0))))</f>
        <v>TV Rieschweiler</v>
      </c>
      <c r="L45" s="43" t="s">
        <v>15</v>
      </c>
      <c r="M45" s="33">
        <v>2</v>
      </c>
      <c r="N45" s="44" t="str">
        <f ca="1">IF('wJ11-14'!Y31="","2. Gruppe A",INDIRECT(ADDRESS(MATCH(M45,$A$1:$A$22,0),MATCH(L45,$A$8:$AD$8,0))))</f>
        <v>TV Sottrum</v>
      </c>
      <c r="O45" s="193" t="s">
        <v>373</v>
      </c>
      <c r="P45" s="33">
        <v>44</v>
      </c>
      <c r="Q45" s="45" t="s">
        <v>22</v>
      </c>
      <c r="R45" s="48">
        <v>33</v>
      </c>
      <c r="S45" s="47">
        <f t="shared" si="4"/>
        <v>2</v>
      </c>
      <c r="T45" s="45" t="s">
        <v>22</v>
      </c>
      <c r="U45" s="48">
        <f t="shared" si="5"/>
        <v>0</v>
      </c>
      <c r="W45" s="45" t="s">
        <v>43</v>
      </c>
      <c r="X45" s="45" t="s">
        <v>43</v>
      </c>
      <c r="Z45" s="33" t="s">
        <v>83</v>
      </c>
      <c r="AA45" s="33" t="s">
        <v>92</v>
      </c>
    </row>
    <row r="46" spans="1:27" ht="12.75">
      <c r="A46" s="33" t="s">
        <v>222</v>
      </c>
      <c r="B46" s="61">
        <f t="shared" si="3"/>
        <v>26</v>
      </c>
      <c r="C46" s="33"/>
      <c r="D46" s="33">
        <f t="shared" si="2"/>
        <v>102</v>
      </c>
      <c r="E46" s="33">
        <v>2</v>
      </c>
      <c r="F46" s="43" t="s">
        <v>16</v>
      </c>
      <c r="G46" s="33">
        <v>12</v>
      </c>
      <c r="H46" s="44" t="str">
        <f ca="1">IF('mJ11-14'!Y31="","2. Gruppe D",INDIRECT(ADDRESS(MATCH(G46,$A$1:$A$22,0),MATCH(F46,$A$8:$AD$8,0))))</f>
        <v>TV Reutin</v>
      </c>
      <c r="I46" s="45" t="s">
        <v>23</v>
      </c>
      <c r="J46" s="33">
        <v>3</v>
      </c>
      <c r="K46" s="44" t="str">
        <f ca="1">IF('mJ11-14'!Y31="","3. Gruppe C",INDIRECT(ADDRESS(MATCH(J46,$A$1:$A$22,0),MATCH(F46,$A$8:$AD$8,0))))</f>
        <v>MTV Eiche Schönebeck</v>
      </c>
      <c r="L46" s="43" t="s">
        <v>16</v>
      </c>
      <c r="M46" s="33">
        <v>2</v>
      </c>
      <c r="N46" s="44" t="str">
        <f ca="1">IF('mJ11-14'!Y31="","2. Gruppe C",INDIRECT(ADDRESS(MATCH(M46,$A$1:$A$22,0),MATCH(L46,$A$8:$AD$8,0))))</f>
        <v>PV Gundernhausen</v>
      </c>
      <c r="O46" s="193" t="s">
        <v>319</v>
      </c>
      <c r="P46" s="33">
        <v>38</v>
      </c>
      <c r="Q46" s="45" t="s">
        <v>22</v>
      </c>
      <c r="R46" s="48">
        <v>27</v>
      </c>
      <c r="S46" s="47">
        <f t="shared" si="4"/>
        <v>2</v>
      </c>
      <c r="T46" s="45" t="s">
        <v>22</v>
      </c>
      <c r="U46" s="48">
        <f t="shared" si="5"/>
        <v>0</v>
      </c>
      <c r="W46" s="45" t="s">
        <v>43</v>
      </c>
      <c r="X46" s="45" t="s">
        <v>43</v>
      </c>
      <c r="Z46" s="33" t="s">
        <v>83</v>
      </c>
      <c r="AA46" s="33" t="s">
        <v>92</v>
      </c>
    </row>
    <row r="47" spans="1:27" ht="12.75">
      <c r="A47" s="33" t="s">
        <v>236</v>
      </c>
      <c r="B47" s="61">
        <f t="shared" si="3"/>
        <v>26</v>
      </c>
      <c r="C47" s="33"/>
      <c r="D47" s="33">
        <f t="shared" si="2"/>
        <v>103</v>
      </c>
      <c r="E47" s="33">
        <v>3</v>
      </c>
      <c r="F47" s="43" t="s">
        <v>17</v>
      </c>
      <c r="G47" s="33">
        <v>12</v>
      </c>
      <c r="H47" s="44" t="str">
        <f ca="1">IF('wJ 15-18'!Y31="","2. Gruppe F",INDIRECT(ADDRESS(MATCH(G47,$A$1:$A$22,0),MATCH(F47,$A$8:$AD$8,0))))</f>
        <v>TV Sottrum</v>
      </c>
      <c r="I47" s="45" t="s">
        <v>23</v>
      </c>
      <c r="J47" s="33">
        <v>3</v>
      </c>
      <c r="K47" s="44" t="str">
        <f ca="1">IF('wJ 15-18'!Y31="","3. Gruppe E",INDIRECT(ADDRESS(MATCH(J47,$A$1:$A$22,0),MATCH(F47,$A$8:$AD$8,0))))</f>
        <v>TV Winterhagen</v>
      </c>
      <c r="L47" s="43" t="s">
        <v>17</v>
      </c>
      <c r="M47" s="33">
        <v>2</v>
      </c>
      <c r="N47" s="44" t="str">
        <f ca="1">IF('wJ 15-18'!Y31="","2. Gruppe E",INDIRECT(ADDRESS(MATCH(M47,$A$1:$A$22,0),MATCH(L47,$A$8:$AD$8,0))))</f>
        <v>MTV Wohnste</v>
      </c>
      <c r="O47" s="193" t="s">
        <v>310</v>
      </c>
      <c r="P47" s="33">
        <v>36</v>
      </c>
      <c r="Q47" s="45" t="s">
        <v>22</v>
      </c>
      <c r="R47" s="48">
        <v>27</v>
      </c>
      <c r="S47" s="47">
        <f t="shared" si="4"/>
        <v>2</v>
      </c>
      <c r="T47" s="45" t="s">
        <v>22</v>
      </c>
      <c r="U47" s="48">
        <f t="shared" si="5"/>
        <v>0</v>
      </c>
      <c r="V47" s="44"/>
      <c r="W47" s="45" t="s">
        <v>43</v>
      </c>
      <c r="X47" s="45" t="s">
        <v>43</v>
      </c>
      <c r="Z47" s="33" t="s">
        <v>83</v>
      </c>
      <c r="AA47" s="33" t="s">
        <v>92</v>
      </c>
    </row>
    <row r="48" spans="1:27" ht="12.75">
      <c r="A48" s="33" t="s">
        <v>247</v>
      </c>
      <c r="B48" s="62">
        <f t="shared" si="3"/>
        <v>26</v>
      </c>
      <c r="C48" s="184"/>
      <c r="D48" s="49">
        <f t="shared" si="2"/>
        <v>104</v>
      </c>
      <c r="E48" s="49">
        <v>4</v>
      </c>
      <c r="F48" s="50" t="s">
        <v>18</v>
      </c>
      <c r="G48" s="49">
        <v>12</v>
      </c>
      <c r="H48" s="51" t="str">
        <f ca="1">IF('mJ 15-18'!Y31="","2. Gruppe H",INDIRECT(ADDRESS(MATCH(G48,$A$1:$A$22,0),MATCH(F48,$A$8:$AD$8,0))))</f>
        <v>TV Kierdorf 1962</v>
      </c>
      <c r="I48" s="52" t="s">
        <v>23</v>
      </c>
      <c r="J48" s="49">
        <v>3</v>
      </c>
      <c r="K48" s="51" t="str">
        <f ca="1">IF('mJ 15-18'!Y31="","3. Gruppe G",INDIRECT(ADDRESS(MATCH(J48,$A$1:$A$22,0),MATCH(F48,$A$8:$AD$8,0))))</f>
        <v>TuS Aschen-Strang</v>
      </c>
      <c r="L48" s="50" t="s">
        <v>18</v>
      </c>
      <c r="M48" s="49">
        <v>2</v>
      </c>
      <c r="N48" s="51" t="str">
        <f ca="1">IF('mJ 15-18'!Y31="","2. Gruppe G",INDIRECT(ADDRESS(MATCH(M48,$A$1:$A$22,0),MATCH(L48,$A$8:$AD$8,0))))</f>
        <v>TV Sottrum</v>
      </c>
      <c r="O48" s="194" t="s">
        <v>374</v>
      </c>
      <c r="P48" s="49">
        <v>38</v>
      </c>
      <c r="Q48" s="52" t="s">
        <v>22</v>
      </c>
      <c r="R48" s="55">
        <v>28</v>
      </c>
      <c r="S48" s="54">
        <f t="shared" si="4"/>
        <v>2</v>
      </c>
      <c r="T48" s="52" t="s">
        <v>22</v>
      </c>
      <c r="U48" s="55">
        <f t="shared" si="5"/>
        <v>0</v>
      </c>
      <c r="W48" s="52" t="s">
        <v>43</v>
      </c>
      <c r="X48" s="52" t="s">
        <v>43</v>
      </c>
      <c r="Z48" s="33" t="s">
        <v>83</v>
      </c>
      <c r="AA48" s="33" t="s">
        <v>92</v>
      </c>
    </row>
    <row r="49" spans="1:27" ht="12.75">
      <c r="A49" s="33" t="s">
        <v>215</v>
      </c>
      <c r="B49" s="33">
        <f t="shared" si="3"/>
        <v>27</v>
      </c>
      <c r="C49" s="42">
        <f>+Daten!P11</f>
        <v>0.4930555555555555</v>
      </c>
      <c r="D49" s="33">
        <f t="shared" si="2"/>
        <v>105</v>
      </c>
      <c r="E49" s="33">
        <v>1</v>
      </c>
      <c r="F49" s="43" t="s">
        <v>15</v>
      </c>
      <c r="G49" s="33">
        <v>11</v>
      </c>
      <c r="H49" s="44" t="str">
        <f ca="1">IF('wJ11-14'!Y31="","1. Gruppe B",INDIRECT(ADDRESS(MATCH(G49,$A$1:$A$22,0),MATCH(F49,$A$8:$AD$8,0))))</f>
        <v>MTV Wohnste</v>
      </c>
      <c r="I49" s="45" t="s">
        <v>23</v>
      </c>
      <c r="J49" s="33"/>
      <c r="K49" s="44" t="str">
        <f>IF($S$41="","Sieger "&amp;D41&amp;" (c)",IF(S41=2,H41,K41))</f>
        <v>TV Sottrum</v>
      </c>
      <c r="L49" s="43" t="s">
        <v>15</v>
      </c>
      <c r="M49" s="33"/>
      <c r="N49" s="44" t="str">
        <f>IF($S$41="","Verlierer "&amp;D41,IF(S41=0,H41,K41))</f>
        <v>SV Weiler</v>
      </c>
      <c r="O49" s="193" t="s">
        <v>320</v>
      </c>
      <c r="P49" s="33">
        <v>30</v>
      </c>
      <c r="Q49" s="45" t="s">
        <v>22</v>
      </c>
      <c r="R49" s="48">
        <v>35</v>
      </c>
      <c r="S49" s="47">
        <f t="shared" si="4"/>
        <v>0</v>
      </c>
      <c r="T49" s="45" t="s">
        <v>22</v>
      </c>
      <c r="U49" s="48">
        <f t="shared" si="5"/>
        <v>2</v>
      </c>
      <c r="W49" s="45" t="s">
        <v>43</v>
      </c>
      <c r="X49" s="45" t="s">
        <v>43</v>
      </c>
      <c r="Z49" s="33" t="s">
        <v>84</v>
      </c>
      <c r="AA49" s="33" t="s">
        <v>93</v>
      </c>
    </row>
    <row r="50" spans="1:27" ht="12.75">
      <c r="A50" s="33" t="s">
        <v>223</v>
      </c>
      <c r="B50" s="61">
        <f t="shared" si="3"/>
        <v>27</v>
      </c>
      <c r="C50" s="33"/>
      <c r="D50" s="33">
        <f t="shared" si="2"/>
        <v>106</v>
      </c>
      <c r="E50" s="33">
        <v>2</v>
      </c>
      <c r="F50" s="43" t="s">
        <v>16</v>
      </c>
      <c r="G50" s="33">
        <v>11</v>
      </c>
      <c r="H50" s="44" t="str">
        <f ca="1">IF('mJ11-14'!Y31="","1. Gruppe D",INDIRECT(ADDRESS(MATCH(G50,$A$1:$A$22,0),MATCH(F50,$A$8:$AD$8,0))))</f>
        <v>SV Weiler</v>
      </c>
      <c r="I50" s="45" t="s">
        <v>23</v>
      </c>
      <c r="J50" s="33"/>
      <c r="K50" s="44" t="str">
        <f>IF($S$42="","Sieger "&amp;D42&amp;" (c)",IF(S42=2,H42,K42))</f>
        <v>PV Gundernhausen</v>
      </c>
      <c r="L50" s="43" t="s">
        <v>16</v>
      </c>
      <c r="M50" s="33"/>
      <c r="N50" s="44" t="str">
        <f>IF($S$42="","Verleirer "&amp;D42,IF(S42=0,H42,K42))</f>
        <v>SV Werder Bremen</v>
      </c>
      <c r="O50" s="193" t="s">
        <v>375</v>
      </c>
      <c r="P50" s="33">
        <v>35</v>
      </c>
      <c r="Q50" s="45" t="s">
        <v>22</v>
      </c>
      <c r="R50" s="48">
        <v>30</v>
      </c>
      <c r="S50" s="47">
        <f t="shared" si="4"/>
        <v>2</v>
      </c>
      <c r="T50" s="45" t="s">
        <v>22</v>
      </c>
      <c r="U50" s="48">
        <f t="shared" si="5"/>
        <v>0</v>
      </c>
      <c r="W50" s="45" t="s">
        <v>43</v>
      </c>
      <c r="X50" s="45" t="s">
        <v>43</v>
      </c>
      <c r="Z50" s="33" t="s">
        <v>84</v>
      </c>
      <c r="AA50" s="33" t="s">
        <v>93</v>
      </c>
    </row>
    <row r="51" spans="1:27" ht="12.75">
      <c r="A51" s="33" t="s">
        <v>237</v>
      </c>
      <c r="B51" s="61">
        <f t="shared" si="3"/>
        <v>27</v>
      </c>
      <c r="C51" s="33"/>
      <c r="D51" s="33">
        <f t="shared" si="2"/>
        <v>107</v>
      </c>
      <c r="E51" s="33">
        <v>3</v>
      </c>
      <c r="F51" s="43" t="s">
        <v>17</v>
      </c>
      <c r="G51" s="33">
        <v>11</v>
      </c>
      <c r="H51" s="44" t="str">
        <f ca="1">IF('wJ 15-18'!Y31="","1. Gruppe F",INDIRECT(ADDRESS(MATCH(G51,$A$1:$A$22,0),MATCH(F51,$A$8:$AD$8,0))))</f>
        <v>TuS Concordia Hülsede</v>
      </c>
      <c r="I51" s="45" t="s">
        <v>23</v>
      </c>
      <c r="J51" s="33"/>
      <c r="K51" s="44" t="str">
        <f>IF($S$43="","Sieger "&amp;D43&amp;" (c)",IF(S43=2,H43,K43))</f>
        <v>MTV Wohnste</v>
      </c>
      <c r="L51" s="43" t="s">
        <v>17</v>
      </c>
      <c r="M51" s="33"/>
      <c r="N51" s="44" t="str">
        <f>IF($S$43="","Verleirer "&amp;D43,IF(S43=0,H43,K43))</f>
        <v>TSV Babenhausen</v>
      </c>
      <c r="O51" s="193" t="s">
        <v>310</v>
      </c>
      <c r="P51" s="33">
        <v>39</v>
      </c>
      <c r="Q51" s="45" t="s">
        <v>22</v>
      </c>
      <c r="R51" s="48">
        <v>24</v>
      </c>
      <c r="S51" s="47">
        <f t="shared" si="4"/>
        <v>2</v>
      </c>
      <c r="T51" s="45" t="s">
        <v>22</v>
      </c>
      <c r="U51" s="48">
        <f t="shared" si="5"/>
        <v>0</v>
      </c>
      <c r="W51" s="45" t="s">
        <v>43</v>
      </c>
      <c r="X51" s="45" t="s">
        <v>43</v>
      </c>
      <c r="Z51" s="33" t="s">
        <v>84</v>
      </c>
      <c r="AA51" s="33" t="s">
        <v>93</v>
      </c>
    </row>
    <row r="52" spans="1:27" ht="12.75">
      <c r="A52" s="33" t="s">
        <v>248</v>
      </c>
      <c r="B52" s="62">
        <f t="shared" si="3"/>
        <v>27</v>
      </c>
      <c r="C52" s="49"/>
      <c r="D52" s="49">
        <f t="shared" si="2"/>
        <v>108</v>
      </c>
      <c r="E52" s="49">
        <v>4</v>
      </c>
      <c r="F52" s="50" t="s">
        <v>18</v>
      </c>
      <c r="G52" s="49">
        <v>11</v>
      </c>
      <c r="H52" s="51" t="str">
        <f ca="1">IF('mJ 15-18'!Y31="","1. Gruppe H",INDIRECT(ADDRESS(MATCH(G52,$A$1:$A$22,0),MATCH(F52,$A$8:$AD$8,0))))</f>
        <v>TV Rieschweiler</v>
      </c>
      <c r="I52" s="52" t="s">
        <v>23</v>
      </c>
      <c r="J52" s="49"/>
      <c r="K52" s="51" t="str">
        <f>IF($S$44="","Sieger "&amp;D44&amp;" (c)",IF(S44=2,H44,K44))</f>
        <v>TV Sottrum</v>
      </c>
      <c r="L52" s="50" t="s">
        <v>18</v>
      </c>
      <c r="M52" s="49"/>
      <c r="N52" s="51" t="str">
        <f>IF($S$44="","Verleirer "&amp;D44,IF(S44=0,H44,K44))</f>
        <v>MTV Eiche Schönebeck</v>
      </c>
      <c r="O52" s="194" t="s">
        <v>353</v>
      </c>
      <c r="P52" s="49">
        <v>34</v>
      </c>
      <c r="Q52" s="52" t="s">
        <v>22</v>
      </c>
      <c r="R52" s="55">
        <v>33</v>
      </c>
      <c r="S52" s="54">
        <f t="shared" si="4"/>
        <v>2</v>
      </c>
      <c r="T52" s="52" t="s">
        <v>22</v>
      </c>
      <c r="U52" s="55">
        <f t="shared" si="5"/>
        <v>0</v>
      </c>
      <c r="W52" s="52" t="s">
        <v>43</v>
      </c>
      <c r="X52" s="52" t="s">
        <v>43</v>
      </c>
      <c r="Z52" s="33" t="s">
        <v>84</v>
      </c>
      <c r="AA52" s="33" t="s">
        <v>93</v>
      </c>
    </row>
    <row r="53" spans="1:27" ht="12.75">
      <c r="A53" s="33" t="s">
        <v>224</v>
      </c>
      <c r="B53" s="33">
        <f t="shared" si="3"/>
        <v>28</v>
      </c>
      <c r="C53" s="42">
        <f>+Daten!P12</f>
        <v>0.5104166666666666</v>
      </c>
      <c r="D53" s="33">
        <f t="shared" si="2"/>
        <v>109</v>
      </c>
      <c r="E53" s="33">
        <v>1</v>
      </c>
      <c r="F53" s="43" t="s">
        <v>15</v>
      </c>
      <c r="G53" s="33">
        <v>1</v>
      </c>
      <c r="H53" s="44" t="str">
        <f ca="1">IF('wJ11-14'!Y31="","1. Gruppe A",INDIRECT(ADDRESS(MATCH(G53,$A$1:$A$22,0),MATCH(F53,$A$8:$AD$8,0))))</f>
        <v>TV Winterhagen</v>
      </c>
      <c r="I53" s="45" t="s">
        <v>23</v>
      </c>
      <c r="J53" s="33"/>
      <c r="K53" s="44" t="str">
        <f>IF($S$45="","Sieger "&amp;D45&amp;" (d)",IF(S45=2,H45,K45))</f>
        <v>SV Diepoldshofen</v>
      </c>
      <c r="L53" s="43" t="s">
        <v>15</v>
      </c>
      <c r="M53" s="33"/>
      <c r="N53" s="44" t="str">
        <f>IF($S$45="","Verlierer "&amp;D45,IF(S45=0,H45,K45))</f>
        <v>TV Rieschweiler</v>
      </c>
      <c r="O53" s="193" t="s">
        <v>376</v>
      </c>
      <c r="P53" s="33">
        <v>51</v>
      </c>
      <c r="Q53" s="45" t="s">
        <v>22</v>
      </c>
      <c r="R53" s="48">
        <v>30</v>
      </c>
      <c r="S53" s="47">
        <f t="shared" si="4"/>
        <v>2</v>
      </c>
      <c r="T53" s="45" t="s">
        <v>22</v>
      </c>
      <c r="U53" s="48">
        <f t="shared" si="5"/>
        <v>0</v>
      </c>
      <c r="W53" s="45" t="s">
        <v>43</v>
      </c>
      <c r="X53" s="45" t="s">
        <v>43</v>
      </c>
      <c r="Z53" s="33" t="s">
        <v>84</v>
      </c>
      <c r="AA53" s="33" t="s">
        <v>93</v>
      </c>
    </row>
    <row r="54" spans="1:27" ht="12.75">
      <c r="A54" s="33" t="s">
        <v>226</v>
      </c>
      <c r="B54" s="61">
        <f t="shared" si="3"/>
        <v>28</v>
      </c>
      <c r="C54" s="33"/>
      <c r="D54" s="33">
        <f t="shared" si="2"/>
        <v>110</v>
      </c>
      <c r="E54" s="33">
        <v>2</v>
      </c>
      <c r="F54" s="43" t="s">
        <v>16</v>
      </c>
      <c r="G54" s="33">
        <v>1</v>
      </c>
      <c r="H54" s="44" t="str">
        <f ca="1">IF('mJ11-14'!Y31="","1. Gruppe C",INDIRECT(ADDRESS(MATCH(G54,$A$1:$A$22,0),MATCH(F54,$A$8:$AD$8,0))))</f>
        <v>VfL Waiblingen</v>
      </c>
      <c r="I54" s="45" t="s">
        <v>23</v>
      </c>
      <c r="J54" s="33"/>
      <c r="K54" s="44" t="str">
        <f>IF($S$46="","Sieger "&amp;D46&amp;" (d)",IF(S46=2,H46,K46))</f>
        <v>TV Reutin</v>
      </c>
      <c r="L54" s="43" t="s">
        <v>16</v>
      </c>
      <c r="M54" s="33"/>
      <c r="N54" s="44" t="str">
        <f>IF($S$46="","Verlierer "&amp;D46,IF(S46=0,H46,K46))</f>
        <v>MTV Eiche Schönebeck</v>
      </c>
      <c r="O54" s="193" t="s">
        <v>360</v>
      </c>
      <c r="P54" s="33">
        <v>34</v>
      </c>
      <c r="Q54" s="45" t="s">
        <v>22</v>
      </c>
      <c r="R54" s="48">
        <v>47</v>
      </c>
      <c r="S54" s="47">
        <f t="shared" si="4"/>
        <v>0</v>
      </c>
      <c r="T54" s="45" t="s">
        <v>22</v>
      </c>
      <c r="U54" s="48">
        <f t="shared" si="5"/>
        <v>2</v>
      </c>
      <c r="W54" s="45" t="s">
        <v>43</v>
      </c>
      <c r="X54" s="45" t="s">
        <v>43</v>
      </c>
      <c r="Z54" s="33" t="s">
        <v>84</v>
      </c>
      <c r="AA54" s="33" t="s">
        <v>93</v>
      </c>
    </row>
    <row r="55" spans="1:27" ht="12.75">
      <c r="A55" s="33" t="s">
        <v>238</v>
      </c>
      <c r="B55" s="61">
        <f t="shared" si="3"/>
        <v>28</v>
      </c>
      <c r="C55" s="33"/>
      <c r="D55" s="33">
        <f t="shared" si="2"/>
        <v>111</v>
      </c>
      <c r="E55" s="33">
        <v>3</v>
      </c>
      <c r="F55" s="43" t="s">
        <v>17</v>
      </c>
      <c r="G55" s="33">
        <v>1</v>
      </c>
      <c r="H55" s="44" t="str">
        <f ca="1">IF('wJ 15-18'!Y31="","1. Gruppe E",INDIRECT(ADDRESS(MATCH(G55,$A$1:$A$22,0),MATCH(F55,$A$8:$AD$8,0))))</f>
        <v>MTV Eiche Schönebeck</v>
      </c>
      <c r="I55" s="45" t="s">
        <v>23</v>
      </c>
      <c r="J55" s="33"/>
      <c r="K55" s="44" t="str">
        <f>IF($S$47="","Sieger "&amp;D47&amp;" (d)",IF(S47=2,H47,K47))</f>
        <v>TV Sottrum</v>
      </c>
      <c r="L55" s="43" t="s">
        <v>17</v>
      </c>
      <c r="M55" s="33"/>
      <c r="N55" s="44" t="str">
        <f>IF($S$47="","Verlierer "&amp;D47,IF(S47=0,H47,K47))</f>
        <v>TV Winterhagen</v>
      </c>
      <c r="O55" s="193" t="s">
        <v>319</v>
      </c>
      <c r="P55" s="33">
        <v>35</v>
      </c>
      <c r="Q55" s="45" t="s">
        <v>22</v>
      </c>
      <c r="R55" s="48">
        <v>32</v>
      </c>
      <c r="S55" s="47">
        <f t="shared" si="4"/>
        <v>2</v>
      </c>
      <c r="T55" s="45" t="s">
        <v>22</v>
      </c>
      <c r="U55" s="48">
        <f t="shared" si="5"/>
        <v>0</v>
      </c>
      <c r="W55" s="45" t="s">
        <v>43</v>
      </c>
      <c r="X55" s="45" t="s">
        <v>43</v>
      </c>
      <c r="Z55" s="33" t="s">
        <v>84</v>
      </c>
      <c r="AA55" s="33" t="s">
        <v>93</v>
      </c>
    </row>
    <row r="56" spans="1:27" ht="12.75">
      <c r="A56" s="33" t="s">
        <v>249</v>
      </c>
      <c r="B56" s="62">
        <f t="shared" si="3"/>
        <v>28</v>
      </c>
      <c r="C56" s="184"/>
      <c r="D56" s="49">
        <f t="shared" si="2"/>
        <v>112</v>
      </c>
      <c r="E56" s="49">
        <v>4</v>
      </c>
      <c r="F56" s="50" t="s">
        <v>18</v>
      </c>
      <c r="G56" s="49">
        <v>1</v>
      </c>
      <c r="H56" s="51" t="str">
        <f ca="1">IF('mJ 15-18'!Y31="","1. Gruppe G",INDIRECT(ADDRESS(MATCH(G56,$A$1:$A$22,0),MATCH(F56,$A$8:$AD$8,0))))</f>
        <v>TuS Westfalia Dortmund-Sölde</v>
      </c>
      <c r="I56" s="52" t="s">
        <v>23</v>
      </c>
      <c r="J56" s="49"/>
      <c r="K56" s="51" t="str">
        <f>IF($S$48="","Sieger "&amp;D48&amp;" (d)",IF(S48=2,H48,K48))</f>
        <v>TV Kierdorf 1962</v>
      </c>
      <c r="L56" s="50" t="s">
        <v>18</v>
      </c>
      <c r="M56" s="49"/>
      <c r="N56" s="51" t="str">
        <f>IF($S$48="","Verlierer "&amp;D48,IF(S48=0,H48,K48))</f>
        <v>TuS Aschen-Strang</v>
      </c>
      <c r="O56" s="194" t="s">
        <v>377</v>
      </c>
      <c r="P56" s="49">
        <v>36</v>
      </c>
      <c r="Q56" s="52" t="s">
        <v>22</v>
      </c>
      <c r="R56" s="55">
        <v>26</v>
      </c>
      <c r="S56" s="54">
        <f t="shared" si="4"/>
        <v>2</v>
      </c>
      <c r="T56" s="52" t="s">
        <v>22</v>
      </c>
      <c r="U56" s="55">
        <f t="shared" si="5"/>
        <v>0</v>
      </c>
      <c r="W56" s="52" t="s">
        <v>43</v>
      </c>
      <c r="X56" s="52" t="s">
        <v>43</v>
      </c>
      <c r="Z56" s="33" t="s">
        <v>84</v>
      </c>
      <c r="AA56" s="33" t="s">
        <v>93</v>
      </c>
    </row>
    <row r="57" spans="1:27" ht="12.75">
      <c r="A57" s="33" t="s">
        <v>225</v>
      </c>
      <c r="B57" s="33">
        <f t="shared" si="3"/>
        <v>29</v>
      </c>
      <c r="C57" s="42">
        <f>+Daten!P13</f>
        <v>0.5277777777777778</v>
      </c>
      <c r="D57" s="33">
        <f t="shared" si="2"/>
        <v>113</v>
      </c>
      <c r="E57" s="33">
        <v>1</v>
      </c>
      <c r="F57" s="43" t="s">
        <v>15</v>
      </c>
      <c r="G57" s="33"/>
      <c r="H57" s="44" t="str">
        <f>IF($S$41="","Platz 5 / Verlierer "&amp;D41,IF(S41=0,H41,K41))</f>
        <v>SV Weiler</v>
      </c>
      <c r="I57" s="45" t="s">
        <v>23</v>
      </c>
      <c r="J57" s="33"/>
      <c r="K57" s="44" t="str">
        <f>IF($S$45="","Verlierer "&amp;D45,IF(S45=0,H45,K45))</f>
        <v>TV Rieschweiler</v>
      </c>
      <c r="L57" s="43" t="s">
        <v>15</v>
      </c>
      <c r="M57" s="33"/>
      <c r="N57" s="44" t="str">
        <f>IF($S$49="","Verlierer "&amp;D49,IF(S49=0,H49,K49))</f>
        <v>MTV Wohnste</v>
      </c>
      <c r="O57" s="193" t="s">
        <v>308</v>
      </c>
      <c r="P57" s="33">
        <v>29</v>
      </c>
      <c r="Q57" s="45" t="s">
        <v>22</v>
      </c>
      <c r="R57" s="48">
        <v>25</v>
      </c>
      <c r="S57" s="47">
        <f t="shared" si="4"/>
        <v>2</v>
      </c>
      <c r="T57" s="45" t="s">
        <v>22</v>
      </c>
      <c r="U57" s="48">
        <f t="shared" si="5"/>
        <v>0</v>
      </c>
      <c r="W57" s="45" t="s">
        <v>43</v>
      </c>
      <c r="X57" s="45" t="s">
        <v>43</v>
      </c>
      <c r="Z57" s="33" t="s">
        <v>85</v>
      </c>
      <c r="AA57" s="33" t="s">
        <v>94</v>
      </c>
    </row>
    <row r="58" spans="1:27" ht="12.75">
      <c r="A58" s="33" t="s">
        <v>227</v>
      </c>
      <c r="B58" s="61">
        <f t="shared" si="3"/>
        <v>29</v>
      </c>
      <c r="C58" s="33"/>
      <c r="D58" s="33">
        <f t="shared" si="2"/>
        <v>114</v>
      </c>
      <c r="E58" s="33">
        <v>2</v>
      </c>
      <c r="F58" s="43" t="s">
        <v>16</v>
      </c>
      <c r="G58" s="33"/>
      <c r="H58" s="44" t="str">
        <f>IF($S$42="","Platz 5 / Verlierer "&amp;D42,IF(S42=0,H42,K42))</f>
        <v>SV Werder Bremen</v>
      </c>
      <c r="I58" s="45" t="s">
        <v>23</v>
      </c>
      <c r="J58" s="33"/>
      <c r="K58" s="44" t="str">
        <f>IF($S$46="","Verlierer "&amp;D46,IF(S46=0,H46,K46))</f>
        <v>MTV Eiche Schönebeck</v>
      </c>
      <c r="L58" s="43" t="s">
        <v>16</v>
      </c>
      <c r="M58" s="33"/>
      <c r="N58" s="44" t="str">
        <f>IF($S$50="","Verlierer "&amp;D50,IF(S50=0,H50,K50))</f>
        <v>PV Gundernhausen</v>
      </c>
      <c r="O58" s="193" t="s">
        <v>378</v>
      </c>
      <c r="P58" s="33">
        <v>28</v>
      </c>
      <c r="Q58" s="45" t="s">
        <v>22</v>
      </c>
      <c r="R58" s="48">
        <v>42</v>
      </c>
      <c r="S58" s="47">
        <f aca="true" t="shared" si="6" ref="S58:S73">IF(P58="","",IF(P58&gt;R58,2,IF(P58&lt;R58,0,1)))</f>
        <v>0</v>
      </c>
      <c r="T58" s="45" t="s">
        <v>22</v>
      </c>
      <c r="U58" s="48">
        <f aca="true" t="shared" si="7" ref="U58:U73">IF(R58="","",IF(R58&gt;P58,2,IF(R58&lt;P58,0,1)))</f>
        <v>2</v>
      </c>
      <c r="W58" s="45" t="s">
        <v>43</v>
      </c>
      <c r="X58" s="45" t="s">
        <v>43</v>
      </c>
      <c r="Z58" s="33" t="s">
        <v>85</v>
      </c>
      <c r="AA58" s="33" t="s">
        <v>94</v>
      </c>
    </row>
    <row r="59" spans="1:27" ht="12.75">
      <c r="A59" s="33" t="s">
        <v>239</v>
      </c>
      <c r="B59" s="61">
        <f t="shared" si="3"/>
        <v>29</v>
      </c>
      <c r="C59" s="33"/>
      <c r="D59" s="33">
        <f t="shared" si="2"/>
        <v>115</v>
      </c>
      <c r="E59" s="33">
        <v>3</v>
      </c>
      <c r="F59" s="43" t="s">
        <v>17</v>
      </c>
      <c r="G59" s="33"/>
      <c r="H59" s="44" t="str">
        <f>IF($S$43="","Platz 5 / Verlierer "&amp;D43,IF(S43=0,H43,K43))</f>
        <v>TSV Babenhausen</v>
      </c>
      <c r="I59" s="45" t="s">
        <v>23</v>
      </c>
      <c r="J59" s="33"/>
      <c r="K59" s="44" t="str">
        <f>IF($S$47="","Verlierer "&amp;D47,IF(S47=0,H47,K47))</f>
        <v>TV Winterhagen</v>
      </c>
      <c r="L59" s="43" t="s">
        <v>17</v>
      </c>
      <c r="M59" s="33"/>
      <c r="N59" s="44" t="str">
        <f>IF($S$51="","Verlierer "&amp;D51,IF(S51=0,H51,K51))</f>
        <v>MTV Wohnste</v>
      </c>
      <c r="O59" s="193" t="s">
        <v>366</v>
      </c>
      <c r="P59" s="33">
        <v>29</v>
      </c>
      <c r="Q59" s="45" t="s">
        <v>22</v>
      </c>
      <c r="R59" s="48">
        <v>34</v>
      </c>
      <c r="S59" s="47">
        <f t="shared" si="6"/>
        <v>0</v>
      </c>
      <c r="T59" s="45" t="s">
        <v>22</v>
      </c>
      <c r="U59" s="48">
        <f t="shared" si="7"/>
        <v>2</v>
      </c>
      <c r="W59" s="45" t="s">
        <v>43</v>
      </c>
      <c r="X59" s="45" t="s">
        <v>43</v>
      </c>
      <c r="Z59" s="33" t="s">
        <v>85</v>
      </c>
      <c r="AA59" s="33" t="s">
        <v>94</v>
      </c>
    </row>
    <row r="60" spans="1:27" ht="12.75">
      <c r="A60" s="33" t="s">
        <v>250</v>
      </c>
      <c r="B60" s="62">
        <f t="shared" si="3"/>
        <v>29</v>
      </c>
      <c r="C60" s="49"/>
      <c r="D60" s="49">
        <f t="shared" si="2"/>
        <v>116</v>
      </c>
      <c r="E60" s="49">
        <v>4</v>
      </c>
      <c r="F60" s="50" t="s">
        <v>18</v>
      </c>
      <c r="G60" s="49"/>
      <c r="H60" s="51" t="str">
        <f>IF($S$44="","Platz 5 / Verlierer "&amp;D44,IF(S44=0,H44,K44))</f>
        <v>MTV Eiche Schönebeck</v>
      </c>
      <c r="I60" s="52" t="s">
        <v>23</v>
      </c>
      <c r="J60" s="49"/>
      <c r="K60" s="51" t="str">
        <f>IF($S$48="","Verlierer "&amp;D48,IF(S48=0,H48,K48))</f>
        <v>TuS Aschen-Strang</v>
      </c>
      <c r="L60" s="50" t="s">
        <v>18</v>
      </c>
      <c r="M60" s="49"/>
      <c r="N60" s="51" t="str">
        <f>IF($S$52="","Verlierer "&amp;D52,IF(S52=0,H52,K52))</f>
        <v>TV Sottrum</v>
      </c>
      <c r="O60" s="194" t="s">
        <v>359</v>
      </c>
      <c r="P60" s="49">
        <v>30</v>
      </c>
      <c r="Q60" s="52" t="s">
        <v>22</v>
      </c>
      <c r="R60" s="55">
        <v>29</v>
      </c>
      <c r="S60" s="54">
        <f t="shared" si="6"/>
        <v>2</v>
      </c>
      <c r="T60" s="52" t="s">
        <v>22</v>
      </c>
      <c r="U60" s="55">
        <f t="shared" si="7"/>
        <v>0</v>
      </c>
      <c r="W60" s="52" t="s">
        <v>43</v>
      </c>
      <c r="X60" s="52" t="s">
        <v>43</v>
      </c>
      <c r="Z60" s="33" t="s">
        <v>85</v>
      </c>
      <c r="AA60" s="33" t="s">
        <v>94</v>
      </c>
    </row>
    <row r="61" spans="1:27" ht="12.75">
      <c r="A61" s="33" t="s">
        <v>230</v>
      </c>
      <c r="B61" s="33">
        <f t="shared" si="3"/>
        <v>30</v>
      </c>
      <c r="C61" s="42">
        <f>+Daten!P14</f>
        <v>0.545138888888889</v>
      </c>
      <c r="D61" s="33">
        <f t="shared" si="2"/>
        <v>117</v>
      </c>
      <c r="E61" s="33">
        <v>1</v>
      </c>
      <c r="F61" s="43" t="s">
        <v>15</v>
      </c>
      <c r="G61" s="33"/>
      <c r="H61" s="44" t="str">
        <f>IF($S$49="","Platz 3 / Verlierer "&amp;D49,IF(S49=0,H49,K49))</f>
        <v>MTV Wohnste</v>
      </c>
      <c r="I61" s="45" t="s">
        <v>23</v>
      </c>
      <c r="J61" s="33"/>
      <c r="K61" s="44" t="str">
        <f>IF($S$53="","Verlierer "&amp;D53,IF(S53=0,H53,K53))</f>
        <v>SV Diepoldshofen</v>
      </c>
      <c r="L61" s="43" t="s">
        <v>15</v>
      </c>
      <c r="M61" s="33"/>
      <c r="N61" s="44" t="str">
        <f>IF($S$49="","Sieger "&amp;D49,IF(S49=2,H49,K49))</f>
        <v>TV Sottrum</v>
      </c>
      <c r="O61" s="193" t="s">
        <v>379</v>
      </c>
      <c r="P61" s="33">
        <v>31</v>
      </c>
      <c r="Q61" s="45" t="s">
        <v>22</v>
      </c>
      <c r="R61" s="48">
        <v>45</v>
      </c>
      <c r="S61" s="47">
        <f t="shared" si="6"/>
        <v>0</v>
      </c>
      <c r="T61" s="45" t="s">
        <v>22</v>
      </c>
      <c r="U61" s="48">
        <f t="shared" si="7"/>
        <v>2</v>
      </c>
      <c r="W61" s="45" t="s">
        <v>43</v>
      </c>
      <c r="X61" s="45" t="s">
        <v>43</v>
      </c>
      <c r="Z61" s="33" t="s">
        <v>85</v>
      </c>
      <c r="AA61" s="33" t="s">
        <v>87</v>
      </c>
    </row>
    <row r="62" spans="1:27" ht="12.75">
      <c r="A62" s="33" t="s">
        <v>228</v>
      </c>
      <c r="B62" s="61">
        <f t="shared" si="3"/>
        <v>30</v>
      </c>
      <c r="C62" s="33"/>
      <c r="D62" s="33">
        <f t="shared" si="2"/>
        <v>118</v>
      </c>
      <c r="E62" s="33">
        <v>2</v>
      </c>
      <c r="F62" s="43" t="s">
        <v>16</v>
      </c>
      <c r="G62" s="33"/>
      <c r="H62" s="44" t="str">
        <f>IF($S$50="","Platz 3 / Verlierer "&amp;D50,IF(S50=0,H50,K50))</f>
        <v>PV Gundernhausen</v>
      </c>
      <c r="I62" s="45" t="s">
        <v>23</v>
      </c>
      <c r="J62" s="33"/>
      <c r="K62" s="44" t="str">
        <f>IF($S$54="","Verlierer "&amp;D54,IF(S54=0,H54,K54))</f>
        <v>VfL Waiblingen</v>
      </c>
      <c r="L62" s="43" t="s">
        <v>16</v>
      </c>
      <c r="M62" s="33"/>
      <c r="N62" s="44" t="str">
        <f>IF($S$50="","Sieger "&amp;D50,IF(S50=2,H50,K50))</f>
        <v>SV Weiler</v>
      </c>
      <c r="O62" s="193" t="s">
        <v>299</v>
      </c>
      <c r="P62" s="33">
        <v>51</v>
      </c>
      <c r="Q62" s="45" t="s">
        <v>22</v>
      </c>
      <c r="R62" s="48">
        <v>49</v>
      </c>
      <c r="S62" s="47">
        <f t="shared" si="6"/>
        <v>2</v>
      </c>
      <c r="T62" s="45" t="s">
        <v>22</v>
      </c>
      <c r="U62" s="48">
        <f t="shared" si="7"/>
        <v>0</v>
      </c>
      <c r="W62" s="45" t="s">
        <v>43</v>
      </c>
      <c r="X62" s="45" t="s">
        <v>43</v>
      </c>
      <c r="Z62" s="33" t="s">
        <v>85</v>
      </c>
      <c r="AA62" s="33" t="s">
        <v>87</v>
      </c>
    </row>
    <row r="63" spans="1:27" ht="12.75">
      <c r="A63" s="33" t="s">
        <v>240</v>
      </c>
      <c r="B63" s="61">
        <f t="shared" si="3"/>
        <v>30</v>
      </c>
      <c r="C63" s="33"/>
      <c r="D63" s="33">
        <f t="shared" si="2"/>
        <v>119</v>
      </c>
      <c r="E63" s="33">
        <v>3</v>
      </c>
      <c r="F63" s="43" t="s">
        <v>17</v>
      </c>
      <c r="G63" s="33"/>
      <c r="H63" s="44" t="str">
        <f>IF($S$51="","Platz 3 / Verlierer "&amp;D51,IF(S51=0,H51,K51))</f>
        <v>MTV Wohnste</v>
      </c>
      <c r="I63" s="45" t="s">
        <v>23</v>
      </c>
      <c r="J63" s="33"/>
      <c r="K63" s="44" t="str">
        <f>IF($S$55="","Verlierer "&amp;D55,IF(S55=0,H55,K55))</f>
        <v>TV Sottrum</v>
      </c>
      <c r="L63" s="43" t="s">
        <v>17</v>
      </c>
      <c r="M63" s="33"/>
      <c r="N63" s="44" t="str">
        <f>IF($S$51="","Sieger "&amp;D51,IF(S51=2,H51,K51))</f>
        <v>TuS Concordia Hülsede</v>
      </c>
      <c r="O63" s="193" t="s">
        <v>331</v>
      </c>
      <c r="P63" s="33">
        <v>25</v>
      </c>
      <c r="Q63" s="45" t="s">
        <v>22</v>
      </c>
      <c r="R63" s="48">
        <v>30</v>
      </c>
      <c r="S63" s="47">
        <f t="shared" si="6"/>
        <v>0</v>
      </c>
      <c r="T63" s="45" t="s">
        <v>22</v>
      </c>
      <c r="U63" s="48">
        <f t="shared" si="7"/>
        <v>2</v>
      </c>
      <c r="W63" s="45" t="s">
        <v>43</v>
      </c>
      <c r="X63" s="45" t="s">
        <v>43</v>
      </c>
      <c r="Z63" s="33" t="s">
        <v>85</v>
      </c>
      <c r="AA63" s="33" t="s">
        <v>87</v>
      </c>
    </row>
    <row r="64" spans="1:27" ht="12.75">
      <c r="A64" s="33" t="s">
        <v>251</v>
      </c>
      <c r="B64" s="61">
        <f t="shared" si="3"/>
        <v>30</v>
      </c>
      <c r="C64" s="49"/>
      <c r="D64" s="49">
        <f t="shared" si="2"/>
        <v>120</v>
      </c>
      <c r="E64" s="49">
        <v>4</v>
      </c>
      <c r="F64" s="50" t="s">
        <v>18</v>
      </c>
      <c r="G64" s="49"/>
      <c r="H64" s="51" t="str">
        <f>IF($S$52="","Platz 3 / Verlierer "&amp;D52,IF(S52=0,H52,K52))</f>
        <v>TV Sottrum</v>
      </c>
      <c r="I64" s="52" t="s">
        <v>23</v>
      </c>
      <c r="J64" s="49"/>
      <c r="K64" s="51" t="str">
        <f>IF($S$56="","Verlierer "&amp;D56,IF(S56=0,H56,K56))</f>
        <v>TV Kierdorf 1962</v>
      </c>
      <c r="L64" s="50" t="s">
        <v>18</v>
      </c>
      <c r="M64" s="49"/>
      <c r="N64" s="51" t="str">
        <f>IF($S$52="","Sieger "&amp;D52,IF(S52=2,H52,K52))</f>
        <v>TV Rieschweiler</v>
      </c>
      <c r="O64" s="194" t="s">
        <v>356</v>
      </c>
      <c r="P64" s="49">
        <v>32</v>
      </c>
      <c r="Q64" s="52" t="s">
        <v>22</v>
      </c>
      <c r="R64" s="55">
        <v>35</v>
      </c>
      <c r="S64" s="54">
        <f t="shared" si="6"/>
        <v>0</v>
      </c>
      <c r="T64" s="52" t="s">
        <v>22</v>
      </c>
      <c r="U64" s="55">
        <f t="shared" si="7"/>
        <v>2</v>
      </c>
      <c r="W64" s="52" t="s">
        <v>43</v>
      </c>
      <c r="X64" s="52" t="s">
        <v>43</v>
      </c>
      <c r="Z64" s="33" t="s">
        <v>85</v>
      </c>
      <c r="AA64" s="33" t="s">
        <v>87</v>
      </c>
    </row>
    <row r="65" spans="1:27" ht="12.75">
      <c r="A65" s="33" t="s">
        <v>214</v>
      </c>
      <c r="B65" s="185">
        <f t="shared" si="3"/>
        <v>31</v>
      </c>
      <c r="C65" s="186">
        <f>+Daten!P15</f>
        <v>0.5625000000000001</v>
      </c>
      <c r="D65" s="185">
        <f>+D64+1</f>
        <v>121</v>
      </c>
      <c r="E65" s="185">
        <v>1</v>
      </c>
      <c r="F65" s="187" t="s">
        <v>15</v>
      </c>
      <c r="G65" s="185"/>
      <c r="H65" s="188" t="str">
        <f>IF($S$49="","Endspiel / Sieger "&amp;D49,IF(S49=2,H49,K49))</f>
        <v>TV Sottrum</v>
      </c>
      <c r="I65" s="86" t="s">
        <v>23</v>
      </c>
      <c r="J65" s="185"/>
      <c r="K65" s="188" t="str">
        <f>IF($S$53="","Sieger "&amp;D53,IF(S53=2,H53,K53))</f>
        <v>TV Winterhagen</v>
      </c>
      <c r="L65" s="187" t="s">
        <v>15</v>
      </c>
      <c r="M65" s="185"/>
      <c r="N65" s="188" t="str">
        <f>IF($S$61="","Sieger "&amp;D61,IF(S61=2,H61,K61))</f>
        <v>SV Diepoldshofen</v>
      </c>
      <c r="O65" s="195" t="s">
        <v>380</v>
      </c>
      <c r="P65" s="185">
        <v>30</v>
      </c>
      <c r="Q65" s="86" t="s">
        <v>22</v>
      </c>
      <c r="R65" s="189">
        <v>34</v>
      </c>
      <c r="S65" s="190">
        <f t="shared" si="6"/>
        <v>0</v>
      </c>
      <c r="T65" s="86" t="s">
        <v>22</v>
      </c>
      <c r="U65" s="189">
        <f t="shared" si="7"/>
        <v>2</v>
      </c>
      <c r="W65" s="86" t="s">
        <v>43</v>
      </c>
      <c r="X65" s="86" t="s">
        <v>43</v>
      </c>
      <c r="Z65" s="33" t="s">
        <v>86</v>
      </c>
      <c r="AA65" s="33" t="s">
        <v>34</v>
      </c>
    </row>
    <row r="66" spans="1:27" ht="12.75">
      <c r="A66" s="33" t="s">
        <v>229</v>
      </c>
      <c r="B66" s="185">
        <f>+B65+1</f>
        <v>32</v>
      </c>
      <c r="C66" s="186">
        <f>+Daten!P16</f>
        <v>0.5798611111111113</v>
      </c>
      <c r="D66" s="185">
        <f aca="true" t="shared" si="8" ref="D66:D80">+D65+1</f>
        <v>122</v>
      </c>
      <c r="E66" s="185">
        <v>1</v>
      </c>
      <c r="F66" s="187" t="s">
        <v>16</v>
      </c>
      <c r="G66" s="185"/>
      <c r="H66" s="188" t="str">
        <f>IF($S$50="","Endspiel / Sieger "&amp;D50,IF(S50=2,H50,K50))</f>
        <v>SV Weiler</v>
      </c>
      <c r="I66" s="86" t="s">
        <v>23</v>
      </c>
      <c r="J66" s="185"/>
      <c r="K66" s="188" t="str">
        <f>IF($S$54="","Sieger "&amp;D54,IF(S54=2,H54,K54))</f>
        <v>TV Reutin</v>
      </c>
      <c r="L66" s="187" t="s">
        <v>16</v>
      </c>
      <c r="M66" s="185"/>
      <c r="N66" s="188" t="str">
        <f>IF($S$62="","Sieger "&amp;D62,IF(S62=2,H62,K62))</f>
        <v>PV Gundernhausen</v>
      </c>
      <c r="O66" s="195" t="s">
        <v>369</v>
      </c>
      <c r="P66" s="185">
        <v>34</v>
      </c>
      <c r="Q66" s="86" t="s">
        <v>22</v>
      </c>
      <c r="R66" s="189">
        <v>32</v>
      </c>
      <c r="S66" s="190">
        <f t="shared" si="6"/>
        <v>2</v>
      </c>
      <c r="T66" s="86" t="s">
        <v>22</v>
      </c>
      <c r="U66" s="189">
        <f t="shared" si="7"/>
        <v>0</v>
      </c>
      <c r="W66" s="52" t="s">
        <v>43</v>
      </c>
      <c r="X66" s="52" t="s">
        <v>43</v>
      </c>
      <c r="Z66" s="33" t="s">
        <v>86</v>
      </c>
      <c r="AA66" s="33" t="s">
        <v>34</v>
      </c>
    </row>
    <row r="67" spans="1:27" ht="12.75">
      <c r="A67" s="33" t="s">
        <v>241</v>
      </c>
      <c r="B67" s="185">
        <f>+B66+1</f>
        <v>33</v>
      </c>
      <c r="C67" s="186">
        <f>+Daten!P17</f>
        <v>0.5972222222222224</v>
      </c>
      <c r="D67" s="185">
        <f t="shared" si="8"/>
        <v>123</v>
      </c>
      <c r="E67" s="185">
        <v>1</v>
      </c>
      <c r="F67" s="187" t="s">
        <v>17</v>
      </c>
      <c r="G67" s="185"/>
      <c r="H67" s="188" t="str">
        <f>IF($S$51="","Endspiel / Sieger "&amp;D51,IF(S51=2,H51,K51))</f>
        <v>TuS Concordia Hülsede</v>
      </c>
      <c r="I67" s="86" t="s">
        <v>23</v>
      </c>
      <c r="J67" s="185"/>
      <c r="K67" s="188" t="str">
        <f>IF($S$55="","Sieger "&amp;D55,IF(S55=2,H55,K55))</f>
        <v>MTV Eiche Schönebeck</v>
      </c>
      <c r="L67" s="187" t="s">
        <v>17</v>
      </c>
      <c r="M67" s="185"/>
      <c r="N67" s="188" t="str">
        <f>IF($S$63="","Sieger "&amp;D63,IF(S63=2,H63,K63))</f>
        <v>TV Sottrum</v>
      </c>
      <c r="O67" s="195" t="s">
        <v>375</v>
      </c>
      <c r="P67" s="185">
        <v>28</v>
      </c>
      <c r="Q67" s="86" t="s">
        <v>22</v>
      </c>
      <c r="R67" s="189">
        <v>36</v>
      </c>
      <c r="S67" s="190">
        <f t="shared" si="6"/>
        <v>0</v>
      </c>
      <c r="T67" s="86" t="s">
        <v>22</v>
      </c>
      <c r="U67" s="189">
        <f t="shared" si="7"/>
        <v>2</v>
      </c>
      <c r="W67" s="52" t="s">
        <v>43</v>
      </c>
      <c r="X67" s="52" t="s">
        <v>43</v>
      </c>
      <c r="Z67" s="33" t="s">
        <v>86</v>
      </c>
      <c r="AA67" s="33" t="s">
        <v>34</v>
      </c>
    </row>
    <row r="68" spans="1:27" ht="12.75">
      <c r="A68" s="33" t="s">
        <v>252</v>
      </c>
      <c r="B68" s="191">
        <f>+B67+1</f>
        <v>34</v>
      </c>
      <c r="C68" s="186">
        <f>+Daten!P18</f>
        <v>0.6145833333333336</v>
      </c>
      <c r="D68" s="185">
        <f t="shared" si="8"/>
        <v>124</v>
      </c>
      <c r="E68" s="185">
        <v>1</v>
      </c>
      <c r="F68" s="187" t="s">
        <v>18</v>
      </c>
      <c r="G68" s="185"/>
      <c r="H68" s="188" t="str">
        <f>IF($S$52="","Endspiel / Sieger "&amp;D52,IF(S52=2,H52,K52))</f>
        <v>TV Rieschweiler</v>
      </c>
      <c r="I68" s="86" t="s">
        <v>23</v>
      </c>
      <c r="J68" s="185"/>
      <c r="K68" s="188" t="str">
        <f>IF($S$56="","Sieger "&amp;D56,IF(S56=2,H56,K56))</f>
        <v>TuS Westfalia Dortmund-Sölde</v>
      </c>
      <c r="L68" s="187" t="s">
        <v>18</v>
      </c>
      <c r="M68" s="185"/>
      <c r="N68" s="188" t="str">
        <f>IF($S$64="","Sieger "&amp;D64,IF(S64=2,H64,K64))</f>
        <v>TV Kierdorf 1962</v>
      </c>
      <c r="O68" s="195" t="s">
        <v>381</v>
      </c>
      <c r="P68" s="185">
        <v>31</v>
      </c>
      <c r="Q68" s="86" t="s">
        <v>22</v>
      </c>
      <c r="R68" s="189">
        <v>36</v>
      </c>
      <c r="S68" s="190">
        <f t="shared" si="6"/>
        <v>0</v>
      </c>
      <c r="T68" s="86" t="s">
        <v>22</v>
      </c>
      <c r="U68" s="189">
        <f t="shared" si="7"/>
        <v>2</v>
      </c>
      <c r="W68" s="52" t="s">
        <v>43</v>
      </c>
      <c r="X68" s="52" t="s">
        <v>43</v>
      </c>
      <c r="Z68" s="33" t="s">
        <v>86</v>
      </c>
      <c r="AA68" s="33" t="s">
        <v>34</v>
      </c>
    </row>
    <row r="69" spans="2:24" ht="12.75" hidden="1" outlineLevel="1">
      <c r="B69" s="33">
        <f>+B65+1</f>
        <v>32</v>
      </c>
      <c r="C69" s="42">
        <f>+Daten!P16</f>
        <v>0.5798611111111113</v>
      </c>
      <c r="D69" s="33">
        <f t="shared" si="8"/>
        <v>125</v>
      </c>
      <c r="E69" s="33">
        <v>1</v>
      </c>
      <c r="F69" s="43"/>
      <c r="G69" s="33"/>
      <c r="H69" s="44"/>
      <c r="I69" s="45" t="s">
        <v>23</v>
      </c>
      <c r="J69" s="33"/>
      <c r="K69" s="44"/>
      <c r="L69" s="43"/>
      <c r="M69" s="33"/>
      <c r="N69" s="44"/>
      <c r="O69" s="182"/>
      <c r="P69" s="33"/>
      <c r="Q69" s="45" t="s">
        <v>22</v>
      </c>
      <c r="R69" s="48"/>
      <c r="S69" s="47">
        <f t="shared" si="6"/>
      </c>
      <c r="T69" s="45" t="s">
        <v>22</v>
      </c>
      <c r="U69" s="48">
        <f t="shared" si="7"/>
      </c>
      <c r="W69" s="45" t="s">
        <v>43</v>
      </c>
      <c r="X69" s="45" t="s">
        <v>43</v>
      </c>
    </row>
    <row r="70" spans="2:24" ht="12.75" hidden="1" outlineLevel="1">
      <c r="B70" s="33"/>
      <c r="C70" s="33"/>
      <c r="D70" s="33">
        <f t="shared" si="8"/>
        <v>126</v>
      </c>
      <c r="E70" s="33">
        <v>2</v>
      </c>
      <c r="F70" s="43"/>
      <c r="G70" s="33"/>
      <c r="H70" s="44"/>
      <c r="I70" s="45" t="s">
        <v>23</v>
      </c>
      <c r="J70" s="33"/>
      <c r="K70" s="44"/>
      <c r="L70" s="43"/>
      <c r="M70" s="33"/>
      <c r="N70" s="44"/>
      <c r="O70" s="182"/>
      <c r="P70" s="33"/>
      <c r="Q70" s="45" t="s">
        <v>22</v>
      </c>
      <c r="R70" s="48"/>
      <c r="S70" s="47">
        <f t="shared" si="6"/>
      </c>
      <c r="T70" s="45" t="s">
        <v>22</v>
      </c>
      <c r="U70" s="48">
        <f t="shared" si="7"/>
      </c>
      <c r="W70" s="45" t="s">
        <v>43</v>
      </c>
      <c r="X70" s="45" t="s">
        <v>43</v>
      </c>
    </row>
    <row r="71" spans="2:24" ht="12.75" hidden="1" outlineLevel="1">
      <c r="B71" s="33"/>
      <c r="C71" s="33"/>
      <c r="D71" s="33">
        <f t="shared" si="8"/>
        <v>127</v>
      </c>
      <c r="E71" s="33">
        <v>3</v>
      </c>
      <c r="F71" s="43"/>
      <c r="G71" s="33"/>
      <c r="H71" s="44"/>
      <c r="I71" s="45" t="s">
        <v>23</v>
      </c>
      <c r="J71" s="33"/>
      <c r="K71" s="44"/>
      <c r="L71" s="43"/>
      <c r="M71" s="33"/>
      <c r="N71" s="44"/>
      <c r="O71" s="182"/>
      <c r="P71" s="33"/>
      <c r="Q71" s="45" t="s">
        <v>22</v>
      </c>
      <c r="R71" s="48"/>
      <c r="S71" s="47">
        <f t="shared" si="6"/>
      </c>
      <c r="T71" s="45" t="s">
        <v>22</v>
      </c>
      <c r="U71" s="48">
        <f t="shared" si="7"/>
      </c>
      <c r="W71" s="45" t="s">
        <v>43</v>
      </c>
      <c r="X71" s="45" t="s">
        <v>43</v>
      </c>
    </row>
    <row r="72" spans="2:24" ht="12.75" hidden="1" outlineLevel="1">
      <c r="B72" s="49"/>
      <c r="C72" s="49"/>
      <c r="D72" s="49">
        <f t="shared" si="8"/>
        <v>128</v>
      </c>
      <c r="E72" s="49">
        <v>4</v>
      </c>
      <c r="F72" s="50"/>
      <c r="G72" s="49"/>
      <c r="H72" s="51"/>
      <c r="I72" s="52" t="s">
        <v>23</v>
      </c>
      <c r="J72" s="49"/>
      <c r="K72" s="51"/>
      <c r="L72" s="50"/>
      <c r="M72" s="49"/>
      <c r="N72" s="51"/>
      <c r="O72" s="183"/>
      <c r="P72" s="49"/>
      <c r="Q72" s="52" t="s">
        <v>22</v>
      </c>
      <c r="R72" s="55"/>
      <c r="S72" s="54">
        <f t="shared" si="6"/>
      </c>
      <c r="T72" s="52" t="s">
        <v>22</v>
      </c>
      <c r="U72" s="55">
        <f t="shared" si="7"/>
      </c>
      <c r="W72" s="52" t="s">
        <v>43</v>
      </c>
      <c r="X72" s="52" t="s">
        <v>43</v>
      </c>
    </row>
    <row r="73" spans="2:24" ht="12.75" hidden="1" outlineLevel="1">
      <c r="B73" s="33">
        <f>+B69+1</f>
        <v>33</v>
      </c>
      <c r="C73" s="42">
        <f>+Daten!P17</f>
        <v>0.5972222222222224</v>
      </c>
      <c r="D73" s="33">
        <f t="shared" si="8"/>
        <v>129</v>
      </c>
      <c r="E73" s="33">
        <v>1</v>
      </c>
      <c r="F73" s="43"/>
      <c r="G73" s="33"/>
      <c r="H73" s="44"/>
      <c r="I73" s="45" t="s">
        <v>23</v>
      </c>
      <c r="J73" s="33"/>
      <c r="K73" s="44"/>
      <c r="L73" s="43"/>
      <c r="M73" s="33"/>
      <c r="N73" s="44"/>
      <c r="O73" s="182"/>
      <c r="P73" s="33"/>
      <c r="Q73" s="45" t="s">
        <v>22</v>
      </c>
      <c r="R73" s="48"/>
      <c r="S73" s="47">
        <f t="shared" si="6"/>
      </c>
      <c r="T73" s="45" t="s">
        <v>22</v>
      </c>
      <c r="U73" s="48">
        <f t="shared" si="7"/>
      </c>
      <c r="W73" s="45" t="s">
        <v>43</v>
      </c>
      <c r="X73" s="45" t="s">
        <v>43</v>
      </c>
    </row>
    <row r="74" spans="2:24" ht="12.75" hidden="1" outlineLevel="1">
      <c r="B74" s="33"/>
      <c r="C74" s="33"/>
      <c r="D74" s="33">
        <f t="shared" si="8"/>
        <v>130</v>
      </c>
      <c r="E74" s="33">
        <v>2</v>
      </c>
      <c r="F74" s="43"/>
      <c r="G74" s="33"/>
      <c r="H74" s="44"/>
      <c r="I74" s="45" t="s">
        <v>23</v>
      </c>
      <c r="J74" s="33"/>
      <c r="K74" s="44"/>
      <c r="L74" s="43"/>
      <c r="M74" s="33"/>
      <c r="N74" s="44"/>
      <c r="O74" s="182"/>
      <c r="P74" s="33"/>
      <c r="Q74" s="45" t="s">
        <v>22</v>
      </c>
      <c r="R74" s="48"/>
      <c r="S74" s="47">
        <f aca="true" t="shared" si="9" ref="S74:S80">IF(P74="","",IF(P74&gt;R74,2,IF(P74&lt;R74,0,1)))</f>
      </c>
      <c r="T74" s="45" t="s">
        <v>22</v>
      </c>
      <c r="U74" s="48">
        <f aca="true" t="shared" si="10" ref="U74:U80">IF(R74="","",IF(R74&gt;P74,2,IF(R74&lt;P74,0,1)))</f>
      </c>
      <c r="W74" s="45" t="s">
        <v>43</v>
      </c>
      <c r="X74" s="45" t="s">
        <v>43</v>
      </c>
    </row>
    <row r="75" spans="2:24" ht="12.75" hidden="1" outlineLevel="1">
      <c r="B75" s="33"/>
      <c r="C75" s="33"/>
      <c r="D75" s="33">
        <f t="shared" si="8"/>
        <v>131</v>
      </c>
      <c r="E75" s="33">
        <v>3</v>
      </c>
      <c r="F75" s="43"/>
      <c r="G75" s="33"/>
      <c r="H75" s="44"/>
      <c r="I75" s="45" t="s">
        <v>23</v>
      </c>
      <c r="J75" s="33"/>
      <c r="K75" s="44"/>
      <c r="L75" s="43"/>
      <c r="M75" s="33"/>
      <c r="N75" s="44"/>
      <c r="O75" s="182"/>
      <c r="P75" s="33"/>
      <c r="Q75" s="45" t="s">
        <v>22</v>
      </c>
      <c r="R75" s="48"/>
      <c r="S75" s="47">
        <f t="shared" si="9"/>
      </c>
      <c r="T75" s="45" t="s">
        <v>22</v>
      </c>
      <c r="U75" s="48">
        <f t="shared" si="10"/>
      </c>
      <c r="W75" s="45" t="s">
        <v>43</v>
      </c>
      <c r="X75" s="45" t="s">
        <v>43</v>
      </c>
    </row>
    <row r="76" spans="2:24" ht="12.75" hidden="1" outlineLevel="1">
      <c r="B76" s="49"/>
      <c r="C76" s="49"/>
      <c r="D76" s="49">
        <f t="shared" si="8"/>
        <v>132</v>
      </c>
      <c r="E76" s="49">
        <v>4</v>
      </c>
      <c r="F76" s="50"/>
      <c r="G76" s="49"/>
      <c r="H76" s="51"/>
      <c r="I76" s="52" t="s">
        <v>23</v>
      </c>
      <c r="J76" s="49"/>
      <c r="K76" s="51"/>
      <c r="L76" s="50"/>
      <c r="M76" s="49"/>
      <c r="N76" s="51"/>
      <c r="O76" s="183"/>
      <c r="P76" s="49"/>
      <c r="Q76" s="52" t="s">
        <v>22</v>
      </c>
      <c r="R76" s="55"/>
      <c r="S76" s="54">
        <f t="shared" si="9"/>
      </c>
      <c r="T76" s="52" t="s">
        <v>22</v>
      </c>
      <c r="U76" s="55">
        <f t="shared" si="10"/>
      </c>
      <c r="W76" s="52" t="s">
        <v>43</v>
      </c>
      <c r="X76" s="52" t="s">
        <v>43</v>
      </c>
    </row>
    <row r="77" spans="2:24" ht="12.75" hidden="1" outlineLevel="1">
      <c r="B77" s="33">
        <f>+B73+1</f>
        <v>34</v>
      </c>
      <c r="C77" s="42">
        <f>+Daten!P18</f>
        <v>0.6145833333333336</v>
      </c>
      <c r="D77" s="33">
        <f t="shared" si="8"/>
        <v>133</v>
      </c>
      <c r="E77" s="33">
        <v>1</v>
      </c>
      <c r="F77" s="43"/>
      <c r="G77" s="33"/>
      <c r="H77" s="44"/>
      <c r="I77" s="45" t="s">
        <v>23</v>
      </c>
      <c r="J77" s="33"/>
      <c r="K77" s="44"/>
      <c r="L77" s="43"/>
      <c r="M77" s="33"/>
      <c r="N77" s="44"/>
      <c r="O77" s="182"/>
      <c r="P77" s="33"/>
      <c r="Q77" s="45" t="s">
        <v>22</v>
      </c>
      <c r="R77" s="48"/>
      <c r="S77" s="47">
        <f t="shared" si="9"/>
      </c>
      <c r="T77" s="45" t="s">
        <v>22</v>
      </c>
      <c r="U77" s="48">
        <f t="shared" si="10"/>
      </c>
      <c r="W77" s="45" t="s">
        <v>43</v>
      </c>
      <c r="X77" s="45" t="s">
        <v>43</v>
      </c>
    </row>
    <row r="78" spans="2:24" ht="12.75" hidden="1" outlineLevel="1">
      <c r="B78" s="33"/>
      <c r="C78" s="33"/>
      <c r="D78" s="33">
        <f t="shared" si="8"/>
        <v>134</v>
      </c>
      <c r="E78" s="33">
        <v>2</v>
      </c>
      <c r="F78" s="43"/>
      <c r="G78" s="33"/>
      <c r="H78" s="44"/>
      <c r="I78" s="45" t="s">
        <v>23</v>
      </c>
      <c r="J78" s="33"/>
      <c r="K78" s="44"/>
      <c r="L78" s="43"/>
      <c r="M78" s="33"/>
      <c r="N78" s="44"/>
      <c r="O78" s="182"/>
      <c r="P78" s="33"/>
      <c r="Q78" s="45" t="s">
        <v>22</v>
      </c>
      <c r="R78" s="48"/>
      <c r="S78" s="47">
        <f t="shared" si="9"/>
      </c>
      <c r="T78" s="45" t="s">
        <v>22</v>
      </c>
      <c r="U78" s="48">
        <f t="shared" si="10"/>
      </c>
      <c r="W78" s="45" t="s">
        <v>43</v>
      </c>
      <c r="X78" s="45" t="s">
        <v>43</v>
      </c>
    </row>
    <row r="79" spans="2:24" ht="12.75" hidden="1" outlineLevel="1">
      <c r="B79" s="33"/>
      <c r="C79" s="33"/>
      <c r="D79" s="33">
        <f t="shared" si="8"/>
        <v>135</v>
      </c>
      <c r="E79" s="33">
        <v>3</v>
      </c>
      <c r="F79" s="43"/>
      <c r="G79" s="33"/>
      <c r="H79" s="44"/>
      <c r="I79" s="45" t="s">
        <v>23</v>
      </c>
      <c r="J79" s="33"/>
      <c r="K79" s="44"/>
      <c r="L79" s="43"/>
      <c r="M79" s="33"/>
      <c r="N79" s="44"/>
      <c r="O79" s="182"/>
      <c r="P79" s="33"/>
      <c r="Q79" s="45" t="s">
        <v>22</v>
      </c>
      <c r="R79" s="48"/>
      <c r="S79" s="47">
        <f t="shared" si="9"/>
      </c>
      <c r="T79" s="45" t="s">
        <v>22</v>
      </c>
      <c r="U79" s="48">
        <f t="shared" si="10"/>
      </c>
      <c r="W79" s="45" t="s">
        <v>43</v>
      </c>
      <c r="X79" s="45" t="s">
        <v>43</v>
      </c>
    </row>
    <row r="80" spans="2:24" ht="12.75" hidden="1" outlineLevel="1">
      <c r="B80" s="49"/>
      <c r="C80" s="49"/>
      <c r="D80" s="49">
        <f t="shared" si="8"/>
        <v>136</v>
      </c>
      <c r="E80" s="49">
        <v>4</v>
      </c>
      <c r="F80" s="50"/>
      <c r="G80" s="49"/>
      <c r="H80" s="51"/>
      <c r="I80" s="52" t="s">
        <v>23</v>
      </c>
      <c r="J80" s="49"/>
      <c r="K80" s="51"/>
      <c r="L80" s="50"/>
      <c r="M80" s="49"/>
      <c r="N80" s="51"/>
      <c r="O80" s="183"/>
      <c r="P80" s="49"/>
      <c r="Q80" s="52" t="s">
        <v>22</v>
      </c>
      <c r="R80" s="55"/>
      <c r="S80" s="54">
        <f t="shared" si="9"/>
      </c>
      <c r="T80" s="52" t="s">
        <v>22</v>
      </c>
      <c r="U80" s="55">
        <f t="shared" si="10"/>
      </c>
      <c r="W80" s="52" t="s">
        <v>43</v>
      </c>
      <c r="X80" s="52" t="s">
        <v>43</v>
      </c>
    </row>
    <row r="81" spans="15:18" ht="12.75" collapsed="1">
      <c r="O81" s="59"/>
      <c r="R81" s="153"/>
    </row>
    <row r="82" ht="12.75">
      <c r="R82" s="153"/>
    </row>
    <row r="83" ht="12.75">
      <c r="R83" s="153"/>
    </row>
    <row r="84" ht="12.75">
      <c r="R84" s="153"/>
    </row>
    <row r="85" ht="12.75">
      <c r="R85" s="153"/>
    </row>
    <row r="86" ht="12.75">
      <c r="R86" s="153"/>
    </row>
  </sheetData>
  <sheetProtection/>
  <printOptions horizontalCentered="1" verticalCentered="1"/>
  <pageMargins left="0.5118110236220472" right="0.1968503937007874" top="0.3937007874015748" bottom="0.3937007874015748" header="0.5118110236220472" footer="0.31496062992125984"/>
  <pageSetup horizontalDpi="600" verticalDpi="600" orientation="portrait" paperSize="9" r:id="rId1"/>
  <headerFooter alignWithMargins="0">
    <oddFooter>&amp;R&amp;6&amp;D; &amp;F, &amp;A</oddFooter>
  </headerFooter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1">
      <selection activeCell="C54" sqref="C54:F55"/>
    </sheetView>
  </sheetViews>
  <sheetFormatPr defaultColWidth="11.421875" defaultRowHeight="12.75"/>
  <cols>
    <col min="1" max="1" width="5.140625" style="0" bestFit="1" customWidth="1"/>
    <col min="2" max="2" width="2.00390625" style="0" customWidth="1"/>
    <col min="3" max="6" width="22.7109375" style="0" customWidth="1"/>
  </cols>
  <sheetData>
    <row r="1" ht="12.75">
      <c r="D1" s="1" t="s">
        <v>106</v>
      </c>
    </row>
    <row r="3" spans="3:6" ht="12.75">
      <c r="C3" t="s">
        <v>107</v>
      </c>
      <c r="D3" t="s">
        <v>108</v>
      </c>
      <c r="E3" t="s">
        <v>109</v>
      </c>
      <c r="F3" t="s">
        <v>110</v>
      </c>
    </row>
    <row r="5" spans="1:6" ht="12.75">
      <c r="A5">
        <v>1964</v>
      </c>
      <c r="D5" t="s">
        <v>111</v>
      </c>
      <c r="F5" t="s">
        <v>111</v>
      </c>
    </row>
    <row r="6" spans="1:6" ht="12.75">
      <c r="A6">
        <v>1965</v>
      </c>
      <c r="C6" s="2"/>
      <c r="D6" t="s">
        <v>112</v>
      </c>
      <c r="F6" t="s">
        <v>113</v>
      </c>
    </row>
    <row r="7" spans="1:6" ht="12.75">
      <c r="A7">
        <v>1966</v>
      </c>
      <c r="C7" s="2"/>
      <c r="D7" t="s">
        <v>112</v>
      </c>
      <c r="F7" t="s">
        <v>113</v>
      </c>
    </row>
    <row r="8" spans="1:6" ht="12.75">
      <c r="A8">
        <v>1967</v>
      </c>
      <c r="C8" s="2"/>
      <c r="D8" t="s">
        <v>114</v>
      </c>
      <c r="F8" t="s">
        <v>115</v>
      </c>
    </row>
    <row r="9" spans="1:6" ht="12.75">
      <c r="A9">
        <v>1968</v>
      </c>
      <c r="C9" s="2"/>
      <c r="D9" t="s">
        <v>114</v>
      </c>
      <c r="F9" t="s">
        <v>116</v>
      </c>
    </row>
    <row r="10" spans="1:6" ht="12.75">
      <c r="A10">
        <v>1969</v>
      </c>
      <c r="C10" s="2"/>
      <c r="D10" t="s">
        <v>114</v>
      </c>
      <c r="F10" t="s">
        <v>117</v>
      </c>
    </row>
    <row r="11" spans="1:6" ht="12.75">
      <c r="A11">
        <v>1970</v>
      </c>
      <c r="C11" s="2"/>
      <c r="D11" t="s">
        <v>114</v>
      </c>
      <c r="F11" t="s">
        <v>118</v>
      </c>
    </row>
    <row r="12" spans="1:6" ht="12.75">
      <c r="A12">
        <v>1971</v>
      </c>
      <c r="D12" t="s">
        <v>119</v>
      </c>
      <c r="F12" t="s">
        <v>120</v>
      </c>
    </row>
    <row r="13" spans="1:6" ht="12.75">
      <c r="A13">
        <v>1972</v>
      </c>
      <c r="C13" s="2"/>
      <c r="D13" t="s">
        <v>121</v>
      </c>
      <c r="F13" t="s">
        <v>122</v>
      </c>
    </row>
    <row r="14" spans="1:6" ht="12.75">
      <c r="A14">
        <v>1973</v>
      </c>
      <c r="C14" s="2" t="s">
        <v>123</v>
      </c>
      <c r="D14" t="s">
        <v>118</v>
      </c>
      <c r="E14" t="s">
        <v>124</v>
      </c>
      <c r="F14" t="s">
        <v>125</v>
      </c>
    </row>
    <row r="15" spans="1:6" ht="12.75">
      <c r="A15">
        <v>1974</v>
      </c>
      <c r="C15" s="2" t="s">
        <v>116</v>
      </c>
      <c r="D15" t="s">
        <v>101</v>
      </c>
      <c r="E15" t="s">
        <v>116</v>
      </c>
      <c r="F15" t="s">
        <v>126</v>
      </c>
    </row>
    <row r="16" spans="1:6" ht="12.75">
      <c r="A16">
        <v>1975</v>
      </c>
      <c r="C16" t="s">
        <v>127</v>
      </c>
      <c r="D16" t="s">
        <v>128</v>
      </c>
      <c r="E16" t="s">
        <v>129</v>
      </c>
      <c r="F16" t="s">
        <v>126</v>
      </c>
    </row>
    <row r="17" spans="1:6" ht="12.75">
      <c r="A17">
        <v>1976</v>
      </c>
      <c r="C17" t="s">
        <v>127</v>
      </c>
      <c r="D17" t="s">
        <v>128</v>
      </c>
      <c r="E17" t="s">
        <v>98</v>
      </c>
      <c r="F17" t="s">
        <v>90</v>
      </c>
    </row>
    <row r="18" spans="1:6" ht="12.75">
      <c r="A18">
        <v>1977</v>
      </c>
      <c r="C18" t="s">
        <v>127</v>
      </c>
      <c r="D18" t="s">
        <v>123</v>
      </c>
      <c r="E18" t="s">
        <v>130</v>
      </c>
      <c r="F18" t="s">
        <v>105</v>
      </c>
    </row>
    <row r="19" spans="1:6" ht="12.75">
      <c r="A19">
        <v>1978</v>
      </c>
      <c r="C19" t="s">
        <v>102</v>
      </c>
      <c r="D19" t="s">
        <v>127</v>
      </c>
      <c r="E19" t="s">
        <v>131</v>
      </c>
      <c r="F19" t="s">
        <v>126</v>
      </c>
    </row>
    <row r="20" spans="1:6" ht="12.75">
      <c r="A20">
        <v>1979</v>
      </c>
      <c r="C20" t="s">
        <v>132</v>
      </c>
      <c r="D20" t="s">
        <v>113</v>
      </c>
      <c r="E20" t="s">
        <v>102</v>
      </c>
      <c r="F20" t="s">
        <v>123</v>
      </c>
    </row>
    <row r="21" spans="1:6" ht="12.75">
      <c r="A21">
        <v>1980</v>
      </c>
      <c r="C21" t="s">
        <v>102</v>
      </c>
      <c r="D21" t="s">
        <v>113</v>
      </c>
      <c r="E21" t="s">
        <v>133</v>
      </c>
      <c r="F21" t="s">
        <v>104</v>
      </c>
    </row>
    <row r="22" spans="1:6" ht="12.75">
      <c r="A22">
        <v>1981</v>
      </c>
      <c r="C22" t="s">
        <v>134</v>
      </c>
      <c r="D22" t="s">
        <v>135</v>
      </c>
      <c r="E22" t="s">
        <v>112</v>
      </c>
      <c r="F22" t="s">
        <v>136</v>
      </c>
    </row>
    <row r="23" spans="1:6" ht="12.75">
      <c r="A23">
        <v>1982</v>
      </c>
      <c r="C23" t="s">
        <v>102</v>
      </c>
      <c r="D23" t="s">
        <v>101</v>
      </c>
      <c r="E23" t="s">
        <v>113</v>
      </c>
      <c r="F23" t="s">
        <v>99</v>
      </c>
    </row>
    <row r="24" spans="1:6" ht="12.75">
      <c r="A24">
        <v>1983</v>
      </c>
      <c r="C24" t="s">
        <v>137</v>
      </c>
      <c r="D24" t="s">
        <v>138</v>
      </c>
      <c r="E24" t="s">
        <v>139</v>
      </c>
      <c r="F24" t="s">
        <v>99</v>
      </c>
    </row>
    <row r="25" spans="1:6" ht="12.75">
      <c r="A25">
        <v>1984</v>
      </c>
      <c r="C25" t="s">
        <v>140</v>
      </c>
      <c r="D25" t="s">
        <v>141</v>
      </c>
      <c r="E25" t="s">
        <v>142</v>
      </c>
      <c r="F25" t="s">
        <v>113</v>
      </c>
    </row>
    <row r="26" spans="1:6" ht="12.75">
      <c r="A26">
        <v>1985</v>
      </c>
      <c r="C26" t="s">
        <v>126</v>
      </c>
      <c r="D26" t="s">
        <v>143</v>
      </c>
      <c r="E26" t="s">
        <v>99</v>
      </c>
      <c r="F26" t="s">
        <v>113</v>
      </c>
    </row>
    <row r="27" spans="1:6" ht="12.75">
      <c r="A27">
        <v>1986</v>
      </c>
      <c r="C27" t="s">
        <v>126</v>
      </c>
      <c r="D27" t="s">
        <v>137</v>
      </c>
      <c r="E27" t="s">
        <v>126</v>
      </c>
      <c r="F27" t="s">
        <v>139</v>
      </c>
    </row>
    <row r="28" spans="1:6" ht="12.75">
      <c r="A28">
        <v>1987</v>
      </c>
      <c r="C28" t="s">
        <v>144</v>
      </c>
      <c r="D28" t="s">
        <v>102</v>
      </c>
      <c r="E28" t="s">
        <v>145</v>
      </c>
      <c r="F28" t="s">
        <v>123</v>
      </c>
    </row>
    <row r="29" spans="1:6" ht="12.75">
      <c r="A29">
        <v>1988</v>
      </c>
      <c r="C29" t="s">
        <v>146</v>
      </c>
      <c r="D29" t="s">
        <v>142</v>
      </c>
      <c r="E29" t="s">
        <v>160</v>
      </c>
      <c r="F29" t="s">
        <v>161</v>
      </c>
    </row>
    <row r="30" spans="1:6" ht="12.75">
      <c r="A30">
        <v>1989</v>
      </c>
      <c r="C30" t="s">
        <v>138</v>
      </c>
      <c r="D30" t="s">
        <v>147</v>
      </c>
      <c r="E30" t="s">
        <v>148</v>
      </c>
      <c r="F30" t="s">
        <v>99</v>
      </c>
    </row>
    <row r="31" spans="1:6" ht="12.75">
      <c r="A31">
        <v>1990</v>
      </c>
      <c r="C31" t="s">
        <v>149</v>
      </c>
      <c r="D31" t="s">
        <v>144</v>
      </c>
      <c r="E31" t="s">
        <v>150</v>
      </c>
      <c r="F31" t="s">
        <v>123</v>
      </c>
    </row>
    <row r="32" spans="1:6" ht="12.75">
      <c r="A32">
        <v>1991</v>
      </c>
      <c r="C32" t="s">
        <v>119</v>
      </c>
      <c r="D32" t="s">
        <v>144</v>
      </c>
      <c r="E32" t="s">
        <v>119</v>
      </c>
      <c r="F32" t="s">
        <v>100</v>
      </c>
    </row>
    <row r="33" spans="1:6" ht="12.75">
      <c r="A33">
        <v>1992</v>
      </c>
      <c r="C33" t="s">
        <v>119</v>
      </c>
      <c r="D33" t="s">
        <v>138</v>
      </c>
      <c r="E33" t="s">
        <v>151</v>
      </c>
      <c r="F33" t="s">
        <v>146</v>
      </c>
    </row>
    <row r="34" spans="1:6" ht="12.75">
      <c r="A34">
        <v>1993</v>
      </c>
      <c r="C34" t="s">
        <v>119</v>
      </c>
      <c r="D34" t="s">
        <v>138</v>
      </c>
      <c r="E34" t="s">
        <v>119</v>
      </c>
      <c r="F34" t="s">
        <v>119</v>
      </c>
    </row>
    <row r="35" spans="1:6" ht="12.75">
      <c r="A35">
        <v>1994</v>
      </c>
      <c r="C35" t="s">
        <v>119</v>
      </c>
      <c r="D35" t="s">
        <v>119</v>
      </c>
      <c r="E35" t="s">
        <v>119</v>
      </c>
      <c r="F35" t="s">
        <v>150</v>
      </c>
    </row>
    <row r="36" spans="1:6" ht="12.75">
      <c r="A36">
        <v>1995</v>
      </c>
      <c r="C36" t="s">
        <v>149</v>
      </c>
      <c r="D36" t="s">
        <v>119</v>
      </c>
      <c r="E36" t="s">
        <v>123</v>
      </c>
      <c r="F36" t="s">
        <v>119</v>
      </c>
    </row>
    <row r="37" spans="1:6" ht="12.75">
      <c r="A37">
        <v>1996</v>
      </c>
      <c r="C37" t="s">
        <v>96</v>
      </c>
      <c r="D37" t="s">
        <v>102</v>
      </c>
      <c r="E37" t="s">
        <v>160</v>
      </c>
      <c r="F37" t="s">
        <v>119</v>
      </c>
    </row>
    <row r="38" spans="1:6" ht="12.75">
      <c r="A38">
        <v>1997</v>
      </c>
      <c r="C38" t="s">
        <v>152</v>
      </c>
      <c r="D38" t="s">
        <v>119</v>
      </c>
      <c r="E38" t="s">
        <v>138</v>
      </c>
      <c r="F38" t="s">
        <v>120</v>
      </c>
    </row>
    <row r="39" spans="1:6" ht="12.75">
      <c r="A39">
        <v>1998</v>
      </c>
      <c r="C39" t="s">
        <v>97</v>
      </c>
      <c r="D39" t="s">
        <v>150</v>
      </c>
      <c r="E39" t="s">
        <v>96</v>
      </c>
      <c r="F39" t="s">
        <v>96</v>
      </c>
    </row>
    <row r="40" spans="1:6" ht="12.75">
      <c r="A40">
        <v>1999</v>
      </c>
      <c r="C40" t="s">
        <v>97</v>
      </c>
      <c r="D40" t="s">
        <v>96</v>
      </c>
      <c r="E40" t="s">
        <v>96</v>
      </c>
      <c r="F40" t="s">
        <v>100</v>
      </c>
    </row>
    <row r="41" spans="1:6" ht="12.75">
      <c r="A41">
        <v>2000</v>
      </c>
      <c r="C41" t="s">
        <v>136</v>
      </c>
      <c r="D41" t="s">
        <v>96</v>
      </c>
      <c r="E41" t="s">
        <v>113</v>
      </c>
      <c r="F41" t="s">
        <v>152</v>
      </c>
    </row>
    <row r="42" spans="1:6" ht="12.75">
      <c r="A42">
        <v>2001</v>
      </c>
      <c r="C42" t="s">
        <v>136</v>
      </c>
      <c r="D42" t="s">
        <v>96</v>
      </c>
      <c r="E42" t="s">
        <v>104</v>
      </c>
      <c r="F42" t="s">
        <v>153</v>
      </c>
    </row>
    <row r="43" spans="1:6" ht="12.75">
      <c r="A43">
        <v>2002</v>
      </c>
      <c r="C43" t="s">
        <v>103</v>
      </c>
      <c r="D43" t="s">
        <v>154</v>
      </c>
      <c r="E43" t="s">
        <v>155</v>
      </c>
      <c r="F43" t="s">
        <v>152</v>
      </c>
    </row>
    <row r="44" spans="1:6" ht="12.75">
      <c r="A44">
        <v>2003</v>
      </c>
      <c r="C44" t="s">
        <v>96</v>
      </c>
      <c r="D44" t="s">
        <v>156</v>
      </c>
      <c r="E44" t="s">
        <v>122</v>
      </c>
      <c r="F44" t="s">
        <v>152</v>
      </c>
    </row>
    <row r="45" spans="1:6" ht="12.75">
      <c r="A45">
        <v>2004</v>
      </c>
      <c r="C45" t="s">
        <v>96</v>
      </c>
      <c r="D45" t="s">
        <v>136</v>
      </c>
      <c r="E45" t="s">
        <v>99</v>
      </c>
      <c r="F45" t="s">
        <v>152</v>
      </c>
    </row>
    <row r="46" spans="1:6" ht="12.75">
      <c r="A46">
        <v>2005</v>
      </c>
      <c r="C46" t="s">
        <v>104</v>
      </c>
      <c r="D46" t="s">
        <v>103</v>
      </c>
      <c r="E46" t="s">
        <v>99</v>
      </c>
      <c r="F46" t="s">
        <v>183</v>
      </c>
    </row>
    <row r="47" spans="1:6" ht="12.75">
      <c r="A47">
        <v>2006</v>
      </c>
      <c r="C47" s="3" t="s">
        <v>187</v>
      </c>
      <c r="D47" s="3" t="s">
        <v>96</v>
      </c>
      <c r="E47" s="3" t="s">
        <v>262</v>
      </c>
      <c r="F47" s="3" t="s">
        <v>99</v>
      </c>
    </row>
    <row r="48" spans="1:6" ht="12.75">
      <c r="A48">
        <v>2007</v>
      </c>
      <c r="C48" s="3" t="s">
        <v>113</v>
      </c>
      <c r="D48" s="3" t="s">
        <v>96</v>
      </c>
      <c r="E48" s="3" t="s">
        <v>96</v>
      </c>
      <c r="F48" s="3" t="s">
        <v>99</v>
      </c>
    </row>
    <row r="49" spans="1:6" ht="12.75">
      <c r="A49">
        <v>2008</v>
      </c>
      <c r="C49" s="3" t="s">
        <v>103</v>
      </c>
      <c r="D49" s="3" t="s">
        <v>96</v>
      </c>
      <c r="E49" s="3" t="s">
        <v>126</v>
      </c>
      <c r="F49" s="3" t="s">
        <v>99</v>
      </c>
    </row>
    <row r="50" spans="1:6" ht="12.75">
      <c r="A50">
        <v>2009</v>
      </c>
      <c r="C50" s="3" t="s">
        <v>103</v>
      </c>
      <c r="D50" s="3" t="s">
        <v>184</v>
      </c>
      <c r="E50" s="3" t="s">
        <v>104</v>
      </c>
      <c r="F50" s="3" t="s">
        <v>99</v>
      </c>
    </row>
    <row r="51" spans="1:6" ht="12.75">
      <c r="A51">
        <v>2010</v>
      </c>
      <c r="C51" s="3" t="s">
        <v>103</v>
      </c>
      <c r="D51" s="3" t="s">
        <v>97</v>
      </c>
      <c r="E51" s="3" t="s">
        <v>136</v>
      </c>
      <c r="F51" s="3" t="s">
        <v>104</v>
      </c>
    </row>
    <row r="52" spans="1:6" ht="12.75">
      <c r="A52">
        <v>2011</v>
      </c>
      <c r="C52" s="3" t="s">
        <v>192</v>
      </c>
      <c r="D52" s="3" t="s">
        <v>103</v>
      </c>
      <c r="E52" s="3" t="s">
        <v>261</v>
      </c>
      <c r="F52" s="3" t="s">
        <v>104</v>
      </c>
    </row>
    <row r="53" spans="1:6" ht="12.75">
      <c r="A53">
        <v>2012</v>
      </c>
      <c r="C53" s="3" t="s">
        <v>96</v>
      </c>
      <c r="D53" s="3" t="s">
        <v>103</v>
      </c>
      <c r="E53" s="3" t="s">
        <v>103</v>
      </c>
      <c r="F53" s="3" t="s">
        <v>104</v>
      </c>
    </row>
    <row r="54" spans="1:6" ht="12.75">
      <c r="A54">
        <v>2013</v>
      </c>
      <c r="C54" s="3" t="s">
        <v>142</v>
      </c>
      <c r="D54" s="3" t="s">
        <v>103</v>
      </c>
      <c r="E54" s="3" t="s">
        <v>258</v>
      </c>
      <c r="F54" s="3" t="s">
        <v>100</v>
      </c>
    </row>
    <row r="55" spans="1:6" ht="12.75">
      <c r="A55">
        <v>2014</v>
      </c>
      <c r="C55" s="3" t="s">
        <v>142</v>
      </c>
      <c r="D55" s="3" t="s">
        <v>103</v>
      </c>
      <c r="E55" s="3" t="s">
        <v>195</v>
      </c>
      <c r="F55" s="3" t="s">
        <v>103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 Jugend in Güglingen</dc:title>
  <dc:subject>Prellball</dc:subject>
  <dc:creator>Stefan Reichelt</dc:creator>
  <cp:keywords/>
  <dc:description>20.-21.05.2006 beim TSV Güglingen</dc:description>
  <cp:lastModifiedBy>Axel Nowark</cp:lastModifiedBy>
  <cp:lastPrinted>2015-04-17T15:02:34Z</cp:lastPrinted>
  <dcterms:created xsi:type="dcterms:W3CDTF">1998-03-17T12:23:14Z</dcterms:created>
  <dcterms:modified xsi:type="dcterms:W3CDTF">2015-04-19T17:59:14Z</dcterms:modified>
  <cp:category>Wettkampfrat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