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380" yWindow="65521" windowWidth="7440" windowHeight="9120" tabRatio="903" activeTab="8"/>
  </bookViews>
  <sheets>
    <sheet name="Auslosung" sheetId="1" r:id="rId1"/>
    <sheet name="Meldeliste" sheetId="2" r:id="rId2"/>
    <sheet name="Daten" sheetId="3" r:id="rId3"/>
    <sheet name="Samstag" sheetId="4" r:id="rId4"/>
    <sheet name="wJ11-14" sheetId="5" r:id="rId5"/>
    <sheet name="mJ11-14" sheetId="6" r:id="rId6"/>
    <sheet name="wJ 15-18" sheetId="7" r:id="rId7"/>
    <sheet name="mJ 15-18" sheetId="8" r:id="rId8"/>
    <sheet name="Sonntag" sheetId="9" r:id="rId9"/>
  </sheets>
  <definedNames>
    <definedName name="_xlnm.Print_Area" localSheetId="7">'mJ 15-18'!$A$1:$V$60</definedName>
    <definedName name="_xlnm.Print_Area" localSheetId="5">'mJ11-14'!$A$1:$V$60</definedName>
    <definedName name="_xlnm.Print_Area" localSheetId="3">'Samstag'!$B$1:$Y$134</definedName>
    <definedName name="_xlnm.Print_Area" localSheetId="8">'Sonntag'!$B$1:$Y$78</definedName>
    <definedName name="_xlnm.Print_Area" localSheetId="6">'wJ 15-18'!$A$1:$V$60</definedName>
    <definedName name="_xlnm.Print_Area" localSheetId="4">'wJ11-14'!$A$1:$V$60</definedName>
    <definedName name="_xlnm.Print_Titles" localSheetId="3">'Samstag'!$1:$22</definedName>
    <definedName name="_xlnm.Print_Titles" localSheetId="8">'Sonntag'!$1:$22</definedName>
  </definedNames>
  <calcPr fullCalcOnLoad="1"/>
</workbook>
</file>

<file path=xl/comments3.xml><?xml version="1.0" encoding="utf-8"?>
<comments xmlns="http://schemas.openxmlformats.org/spreadsheetml/2006/main">
  <authors>
    <author>Ein gesch?tzter Microsoft Office Anwender</author>
  </authors>
  <commentList>
    <comment ref="A1" authorId="0">
      <text>
        <r>
          <rPr>
            <sz val="9"/>
            <rFont val="Tahoma"/>
            <family val="0"/>
          </rPr>
          <t>Bitte Überschrift eingeben</t>
        </r>
      </text>
    </comment>
    <comment ref="B1" authorId="0">
      <text>
        <r>
          <rPr>
            <sz val="9"/>
            <rFont val="Tahoma"/>
            <family val="0"/>
          </rPr>
          <t>Bitte Überschrift eingeben</t>
        </r>
      </text>
    </comment>
    <comment ref="I1" authorId="0">
      <text>
        <r>
          <rPr>
            <sz val="9"/>
            <rFont val="Tahoma"/>
            <family val="0"/>
          </rPr>
          <t>Jahr eingeben</t>
        </r>
      </text>
    </comment>
    <comment ref="N4" authorId="0">
      <text>
        <r>
          <rPr>
            <sz val="9"/>
            <rFont val="Tahoma"/>
            <family val="0"/>
          </rPr>
          <t>Bitte in P4 die Anfangszeit für Samstag eintragen. In N14 die für Samstag Nachmittag.</t>
        </r>
      </text>
    </comment>
    <comment ref="O4" authorId="0">
      <text>
        <r>
          <rPr>
            <sz val="9"/>
            <rFont val="Tahoma"/>
            <family val="0"/>
          </rPr>
          <t>In O5 die Spielzeit incl. Pause eingeben</t>
        </r>
      </text>
    </comment>
    <comment ref="P4" authorId="0">
      <text>
        <r>
          <rPr>
            <sz val="9"/>
            <rFont val="Tahoma"/>
            <family val="0"/>
          </rPr>
          <t>Bitte in P4 die Anfangszeit für Sonntag eintragen. In P9 die für die Endrunde (1-6)</t>
        </r>
      </text>
    </comment>
  </commentList>
</comments>
</file>

<file path=xl/comments5.xml><?xml version="1.0" encoding="utf-8"?>
<comments xmlns="http://schemas.openxmlformats.org/spreadsheetml/2006/main">
  <authors>
    <author>Ein gesch?tzter Microsoft Office Anwender</author>
  </authors>
  <commentList>
    <comment ref="X4" authorId="0">
      <text>
        <r>
          <rPr>
            <sz val="9"/>
            <rFont val="Tahoma"/>
            <family val="0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  <comment ref="M39" authorId="0">
      <text>
        <r>
          <rPr>
            <sz val="9"/>
            <rFont val="Tahoma"/>
            <family val="0"/>
          </rPr>
          <t>Bitte in M40, 42, 44, 46, 48, 50, 52, 54, 56, 58, 60 ein Leerzeichen eingeben</t>
        </r>
      </text>
    </comment>
  </commentList>
</comments>
</file>

<file path=xl/comments6.xml><?xml version="1.0" encoding="utf-8"?>
<comments xmlns="http://schemas.openxmlformats.org/spreadsheetml/2006/main">
  <authors>
    <author>Ein gesch?tzter Microsoft Office Anwender</author>
  </authors>
  <commentList>
    <comment ref="X4" authorId="0">
      <text>
        <r>
          <rPr>
            <sz val="9"/>
            <rFont val="Tahoma"/>
            <family val="0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</commentList>
</comments>
</file>

<file path=xl/comments7.xml><?xml version="1.0" encoding="utf-8"?>
<comments xmlns="http://schemas.openxmlformats.org/spreadsheetml/2006/main">
  <authors>
    <author>Ein gesch?tzter Microsoft Office Anwender</author>
  </authors>
  <commentList>
    <comment ref="X4" authorId="0">
      <text>
        <r>
          <rPr>
            <sz val="9"/>
            <rFont val="Tahoma"/>
            <family val="0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</commentList>
</comments>
</file>

<file path=xl/comments8.xml><?xml version="1.0" encoding="utf-8"?>
<comments xmlns="http://schemas.openxmlformats.org/spreadsheetml/2006/main">
  <authors>
    <author>Ein gesch?tzter Microsoft Office Anwender</author>
  </authors>
  <commentList>
    <comment ref="X4" authorId="0">
      <text>
        <r>
          <rPr>
            <sz val="9"/>
            <rFont val="Tahoma"/>
            <family val="0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</commentList>
</comments>
</file>

<file path=xl/comments9.xml><?xml version="1.0" encoding="utf-8"?>
<comments xmlns="http://schemas.openxmlformats.org/spreadsheetml/2006/main">
  <authors>
    <author>Ein gesch?tzter Microsoft Office Anwender</author>
  </authors>
  <commentList>
    <comment ref="B2" authorId="0">
      <text>
        <r>
          <rPr>
            <sz val="9"/>
            <rFont val="Tahoma"/>
            <family val="0"/>
          </rPr>
          <t>Bitte Leerzeichen eingeben</t>
        </r>
      </text>
    </comment>
    <comment ref="H2" authorId="0">
      <text>
        <r>
          <rPr>
            <sz val="9"/>
            <rFont val="Tahoma"/>
            <family val="0"/>
          </rPr>
          <t>Bitte Leerzeichen eingeben</t>
        </r>
      </text>
    </comment>
    <comment ref="L2" authorId="0">
      <text>
        <r>
          <rPr>
            <sz val="9"/>
            <rFont val="Tahoma"/>
            <family val="0"/>
          </rPr>
          <t>Bitte Leerzeichen eingeben</t>
        </r>
      </text>
    </comment>
    <comment ref="O2" authorId="0">
      <text>
        <r>
          <rPr>
            <sz val="9"/>
            <rFont val="Tahoma"/>
            <family val="0"/>
          </rPr>
          <t>Bitte Leerzeichen eingeben</t>
        </r>
      </text>
    </comment>
  </commentList>
</comments>
</file>

<file path=xl/sharedStrings.xml><?xml version="1.0" encoding="utf-8"?>
<sst xmlns="http://schemas.openxmlformats.org/spreadsheetml/2006/main" count="2668" uniqueCount="188">
  <si>
    <t>weibl. Jugend 11-14</t>
  </si>
  <si>
    <t>männl. Jugend 11-14</t>
  </si>
  <si>
    <t>Zeit</t>
  </si>
  <si>
    <t>Gruppe A</t>
  </si>
  <si>
    <t>Gruppe B</t>
  </si>
  <si>
    <t>Gruppe C</t>
  </si>
  <si>
    <t>Gruppe D</t>
  </si>
  <si>
    <t>SA</t>
  </si>
  <si>
    <t>weibl. Jugend 15-18</t>
  </si>
  <si>
    <t>männl. Jugend 15-18</t>
  </si>
  <si>
    <t>Gruppe E</t>
  </si>
  <si>
    <t>Gruppe F</t>
  </si>
  <si>
    <t>Gruppe G</t>
  </si>
  <si>
    <t>Gruppe H</t>
  </si>
  <si>
    <t>Auslosung für DM</t>
  </si>
  <si>
    <t>Bitte Felder mit roten Punkten beachten, nur die Maus auf Feld stellen, Notiz wird angezeigt</t>
  </si>
  <si>
    <t>w11</t>
  </si>
  <si>
    <t>m11</t>
  </si>
  <si>
    <t>w15</t>
  </si>
  <si>
    <t>m15</t>
  </si>
  <si>
    <t>Vorrunde</t>
  </si>
  <si>
    <t>Bälle/Punkte</t>
  </si>
  <si>
    <t>Platz</t>
  </si>
  <si>
    <t>:</t>
  </si>
  <si>
    <t>-</t>
  </si>
  <si>
    <t>E-Spiele</t>
  </si>
  <si>
    <t>a</t>
  </si>
  <si>
    <t>b</t>
  </si>
  <si>
    <t>Tabelle</t>
  </si>
  <si>
    <t>Vorkreuzspiele</t>
  </si>
  <si>
    <t>c</t>
  </si>
  <si>
    <t>d</t>
  </si>
  <si>
    <t>Kreuzspiele</t>
  </si>
  <si>
    <t>e</t>
  </si>
  <si>
    <t>f</t>
  </si>
  <si>
    <t>Endspiel</t>
  </si>
  <si>
    <t>Dg.</t>
  </si>
  <si>
    <t>Nr.</t>
  </si>
  <si>
    <t>Feld</t>
  </si>
  <si>
    <t>Mannschaft</t>
  </si>
  <si>
    <t>L / A</t>
  </si>
  <si>
    <t>HZ</t>
  </si>
  <si>
    <t>Ergebnis</t>
  </si>
  <si>
    <t>Punkte</t>
  </si>
  <si>
    <t>_ _ _/_ _ _</t>
  </si>
  <si>
    <t>aa</t>
  </si>
  <si>
    <t>SA_E</t>
  </si>
  <si>
    <t>bb</t>
  </si>
  <si>
    <t>g</t>
  </si>
  <si>
    <t>h</t>
  </si>
  <si>
    <t>cc</t>
  </si>
  <si>
    <t>i</t>
  </si>
  <si>
    <t>j</t>
  </si>
  <si>
    <t>k</t>
  </si>
  <si>
    <t>l</t>
  </si>
  <si>
    <t>dd</t>
  </si>
  <si>
    <t>m</t>
  </si>
  <si>
    <t>n</t>
  </si>
  <si>
    <t>o</t>
  </si>
  <si>
    <t>p</t>
  </si>
  <si>
    <t xml:space="preserve">SA1 </t>
  </si>
  <si>
    <t>ee</t>
  </si>
  <si>
    <t>q</t>
  </si>
  <si>
    <t>SA1_E</t>
  </si>
  <si>
    <t>r</t>
  </si>
  <si>
    <t>s</t>
  </si>
  <si>
    <t>t</t>
  </si>
  <si>
    <t>ff</t>
  </si>
  <si>
    <t>u</t>
  </si>
  <si>
    <t>v</t>
  </si>
  <si>
    <t>w</t>
  </si>
  <si>
    <t>x</t>
  </si>
  <si>
    <t>gg</t>
  </si>
  <si>
    <t>y</t>
  </si>
  <si>
    <t>z</t>
  </si>
  <si>
    <t>a1</t>
  </si>
  <si>
    <t>a2</t>
  </si>
  <si>
    <t>hh</t>
  </si>
  <si>
    <t>a3</t>
  </si>
  <si>
    <t>a4</t>
  </si>
  <si>
    <t>a5</t>
  </si>
  <si>
    <t>a6</t>
  </si>
  <si>
    <t>SO</t>
  </si>
  <si>
    <t>SO_1</t>
  </si>
  <si>
    <t>SO_2</t>
  </si>
  <si>
    <t>SO_3</t>
  </si>
  <si>
    <t>SO_4</t>
  </si>
  <si>
    <t>SO_End</t>
  </si>
  <si>
    <t>Platz 3</t>
  </si>
  <si>
    <t>Platz 9</t>
  </si>
  <si>
    <t>Platz 7</t>
  </si>
  <si>
    <t>Pl-Kreuz</t>
  </si>
  <si>
    <t>Vorkreuz</t>
  </si>
  <si>
    <t>Kreuz</t>
  </si>
  <si>
    <t>Platz 5</t>
  </si>
  <si>
    <t>Deutsche Prellball Meisterschaften der Jugend</t>
  </si>
  <si>
    <t>AUSLOSUNG</t>
  </si>
  <si>
    <t>GRUPPENEINTEILUNG</t>
  </si>
  <si>
    <t>Gruppe 1</t>
  </si>
  <si>
    <t>Gruppe 2</t>
  </si>
  <si>
    <t>Platzierungs-Kreuzspiele</t>
  </si>
  <si>
    <t>Platzierungsspiele 7-10</t>
  </si>
  <si>
    <t>Platzierungsspiele 3-6</t>
  </si>
  <si>
    <t>Regionalgruppe Nord</t>
  </si>
  <si>
    <t>Regionalgruppe Süd</t>
  </si>
  <si>
    <t>Regionalgruppe West</t>
  </si>
  <si>
    <t>1. Nord</t>
  </si>
  <si>
    <t>2. Nord</t>
  </si>
  <si>
    <t>3. Nord</t>
  </si>
  <si>
    <t>4. Nord</t>
  </si>
  <si>
    <t>1. Süd</t>
  </si>
  <si>
    <t>2. Süd</t>
  </si>
  <si>
    <t>3. Süd</t>
  </si>
  <si>
    <t>4. Süd</t>
  </si>
  <si>
    <t>1. West</t>
  </si>
  <si>
    <t>2. West</t>
  </si>
  <si>
    <t>3. West</t>
  </si>
  <si>
    <t>4. West</t>
  </si>
  <si>
    <t>w.Jgd. 11-14</t>
  </si>
  <si>
    <t>w.Jgd. 15-18</t>
  </si>
  <si>
    <t>m.Jgd. 11-14</t>
  </si>
  <si>
    <t>m.Jgd. 15-18</t>
  </si>
  <si>
    <t>E-Spiel</t>
  </si>
  <si>
    <t>N1</t>
  </si>
  <si>
    <t>N2</t>
  </si>
  <si>
    <t>N3</t>
  </si>
  <si>
    <t>N4</t>
  </si>
  <si>
    <t>1. N</t>
  </si>
  <si>
    <t>2. N</t>
  </si>
  <si>
    <t>3. N</t>
  </si>
  <si>
    <t>4. N</t>
  </si>
  <si>
    <t>1. S</t>
  </si>
  <si>
    <t>2. S</t>
  </si>
  <si>
    <t>3. S</t>
  </si>
  <si>
    <t>4. S</t>
  </si>
  <si>
    <t>S1</t>
  </si>
  <si>
    <t>S2</t>
  </si>
  <si>
    <t>S3</t>
  </si>
  <si>
    <t>S4</t>
  </si>
  <si>
    <t>1. W</t>
  </si>
  <si>
    <t>2. W</t>
  </si>
  <si>
    <t>3. W</t>
  </si>
  <si>
    <t>4. W</t>
  </si>
  <si>
    <t>W1</t>
  </si>
  <si>
    <t>W2</t>
  </si>
  <si>
    <t>W3</t>
  </si>
  <si>
    <t>W4</t>
  </si>
  <si>
    <t>BA</t>
  </si>
  <si>
    <t>TV Zeilhard</t>
  </si>
  <si>
    <t>TV Berkenbaum</t>
  </si>
  <si>
    <t>PV Gundernhausen</t>
  </si>
  <si>
    <t>MTV Markoldendorf</t>
  </si>
  <si>
    <t>TV Sottrum</t>
  </si>
  <si>
    <t>Vegesacker TV</t>
  </si>
  <si>
    <t>MTV Wohnste</t>
  </si>
  <si>
    <t>TV Mahndorf</t>
  </si>
  <si>
    <t>MTV Itzehoe</t>
  </si>
  <si>
    <t>TSV Marienfelde</t>
  </si>
  <si>
    <t>MTV Jahn Schladen</t>
  </si>
  <si>
    <t>TV Freiburg St. Georgen</t>
  </si>
  <si>
    <t>VfL Waiblingen</t>
  </si>
  <si>
    <t>TSV Babenhausen</t>
  </si>
  <si>
    <t>TV Oberschopfheim</t>
  </si>
  <si>
    <t>TSV Ludwigshafen</t>
  </si>
  <si>
    <t>TV Huchenfeld</t>
  </si>
  <si>
    <t xml:space="preserve"> </t>
  </si>
  <si>
    <t>F</t>
  </si>
  <si>
    <t>TuS Harsefeld</t>
  </si>
  <si>
    <t>TuS Aschen-Strang</t>
  </si>
  <si>
    <t>TSV Burgdorf</t>
  </si>
  <si>
    <t>44.</t>
  </si>
  <si>
    <t>DM Jugend 2007</t>
  </si>
  <si>
    <t>05.05.2007</t>
  </si>
  <si>
    <t>06.05.2007</t>
  </si>
  <si>
    <t>44.DEUTSCHE PRELLBALL MEISTERSCHAFTEN DER JUGEND 2007</t>
  </si>
  <si>
    <t>SV Weiler</t>
  </si>
  <si>
    <t>TV Rieschweiler</t>
  </si>
  <si>
    <t>TSG Wiesloch</t>
  </si>
  <si>
    <t xml:space="preserve">TV Zeilhard </t>
  </si>
  <si>
    <t>TB Essen-Altendorf</t>
  </si>
  <si>
    <t>TV Hochneukirch</t>
  </si>
  <si>
    <t xml:space="preserve">PV Gundernhausen </t>
  </si>
  <si>
    <t>GW Wuppertal</t>
  </si>
  <si>
    <t>Linden Dahlhauser TV</t>
  </si>
  <si>
    <t xml:space="preserve">TV Hemer </t>
  </si>
  <si>
    <t xml:space="preserve">TV Berkenbaum </t>
  </si>
  <si>
    <t>TV Kierdorf</t>
  </si>
  <si>
    <t>BTV Charlottenburg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</si>
</sst>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\ mmm\ yy"/>
    <numFmt numFmtId="178" formatCode="d/\ mmm"/>
    <numFmt numFmtId="179" formatCode="d/m/yy\ h:mm"/>
    <numFmt numFmtId="180" formatCode="&quot;DM&quot;#,##0;\-&quot;DM&quot;#,##0"/>
    <numFmt numFmtId="181" formatCode="&quot;DM&quot;#,##0;[Red]\-&quot;DM&quot;#,##0"/>
    <numFmt numFmtId="182" formatCode="&quot;DM&quot;#,##0.00;\-&quot;DM&quot;#,##0.00"/>
    <numFmt numFmtId="183" formatCode="&quot;DM&quot;#,##0.00;[Red]\-&quot;DM&quot;#,##0.00"/>
    <numFmt numFmtId="184" formatCode="h:mm"/>
    <numFmt numFmtId="185" formatCode="h:mm:ss"/>
    <numFmt numFmtId="186" formatCode="0;0"/>
    <numFmt numFmtId="187" formatCode="0;0;"/>
    <numFmt numFmtId="188" formatCode="00"/>
    <numFmt numFmtId="189" formatCode="0.00000"/>
    <numFmt numFmtId="190" formatCode="&quot;DM&quot;#,##0_);\(&quot;DM&quot;#,##0\)"/>
    <numFmt numFmtId="191" formatCode="&quot;DM&quot;#,##0_);[Red]\(&quot;DM&quot;#,##0\)"/>
    <numFmt numFmtId="192" formatCode="&quot;DM&quot;#,##0.00_);\(&quot;DM&quot;#,##0.00\)"/>
    <numFmt numFmtId="193" formatCode="&quot;DM&quot;#,##0.00_);[Red]\(&quot;DM&quot;#,##0.00\)"/>
    <numFmt numFmtId="194" formatCode="_(&quot;DM&quot;* #,##0_);_(&quot;DM&quot;* \(#,##0\);_(&quot;DM&quot;* &quot;-&quot;_);_(@_)"/>
    <numFmt numFmtId="195" formatCode="_(* #,##0_);_(* \(#,##0\);_(* &quot;-&quot;_);_(@_)"/>
    <numFmt numFmtId="196" formatCode="_(&quot;DM&quot;* #,##0.00_);_(&quot;DM&quot;* \(#,##0.00\);_(&quot;DM&quot;* &quot;-&quot;??_);_(@_)"/>
    <numFmt numFmtId="197" formatCode="_(* #,##0.00_);_(* \(#,##0.00\);_(* &quot;-&quot;??_);_(@_)"/>
    <numFmt numFmtId="198" formatCode="h:m"/>
    <numFmt numFmtId="199" formatCode="0.00000000"/>
    <numFmt numFmtId="200" formatCode="0.000000000"/>
    <numFmt numFmtId="201" formatCode="0.0000"/>
    <numFmt numFmtId="202" formatCode="000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9"/>
      <name val="System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sz val="14"/>
      <name val="Futura XBlk BT"/>
      <family val="2"/>
    </font>
    <font>
      <sz val="10"/>
      <name val="Futura Md BT"/>
      <family val="2"/>
    </font>
    <font>
      <sz val="12"/>
      <name val="Futura Md BT"/>
      <family val="2"/>
    </font>
    <font>
      <sz val="10"/>
      <name val="Futura Lt BT"/>
      <family val="2"/>
    </font>
    <font>
      <u val="single"/>
      <sz val="10"/>
      <name val="Futura Md BT"/>
      <family val="2"/>
    </font>
    <font>
      <sz val="16"/>
      <name val="Futura Lt BT"/>
      <family val="2"/>
    </font>
    <font>
      <sz val="16"/>
      <name val="Futura Md BT"/>
      <family val="2"/>
    </font>
    <font>
      <sz val="10"/>
      <color indexed="9"/>
      <name val="Futura Lt BT"/>
      <family val="2"/>
    </font>
    <font>
      <sz val="8"/>
      <name val="Futura Lt BT"/>
      <family val="2"/>
    </font>
    <font>
      <sz val="6"/>
      <name val="Futura Lt BT"/>
      <family val="2"/>
    </font>
    <font>
      <b/>
      <sz val="14"/>
      <name val="Futura Md BT"/>
      <family val="2"/>
    </font>
    <font>
      <sz val="8"/>
      <name val="Futura Md BT"/>
      <family val="2"/>
    </font>
    <font>
      <sz val="14"/>
      <name val="Futura Md BT"/>
      <family val="2"/>
    </font>
    <font>
      <sz val="12"/>
      <name val="Futura Lt BT"/>
      <family val="2"/>
    </font>
    <font>
      <sz val="14"/>
      <name val="Futura Lt BT"/>
      <family val="2"/>
    </font>
    <font>
      <sz val="5"/>
      <name val="Futura Lt BT"/>
      <family val="2"/>
    </font>
    <font>
      <sz val="7"/>
      <name val="Futura Lt BT"/>
      <family val="2"/>
    </font>
    <font>
      <b/>
      <sz val="10"/>
      <name val="Futura Md BT"/>
      <family val="2"/>
    </font>
    <font>
      <sz val="11"/>
      <name val="Futura Md BT"/>
      <family val="2"/>
    </font>
    <font>
      <sz val="4"/>
      <name val="Futura Lt BT"/>
      <family val="2"/>
    </font>
    <font>
      <sz val="8"/>
      <color indexed="13"/>
      <name val="Times New Roman"/>
      <family val="1"/>
    </font>
    <font>
      <sz val="6"/>
      <color indexed="9"/>
      <name val="Futura Lt BT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 locked="0"/>
    </xf>
    <xf numFmtId="14" fontId="7" fillId="0" borderId="0" xfId="0" applyNumberFormat="1" applyFont="1" applyFill="1" applyAlignment="1" applyProtection="1" quotePrefix="1">
      <alignment/>
      <protection locked="0"/>
    </xf>
    <xf numFmtId="0" fontId="7" fillId="0" borderId="0" xfId="0" applyFont="1" applyFill="1" applyAlignment="1" applyProtection="1" quotePrefix="1">
      <alignment/>
      <protection locked="0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20" applyFont="1" applyFill="1" applyAlignment="1">
      <alignment/>
      <protection/>
    </xf>
    <xf numFmtId="20" fontId="7" fillId="2" borderId="0" xfId="0" applyNumberFormat="1" applyFont="1" applyFill="1" applyAlignment="1">
      <alignment/>
    </xf>
    <xf numFmtId="0" fontId="8" fillId="2" borderId="0" xfId="0" applyFont="1" applyFill="1" applyAlignment="1">
      <alignment horizontal="centerContinuous"/>
    </xf>
    <xf numFmtId="20" fontId="7" fillId="0" borderId="0" xfId="0" applyNumberFormat="1" applyFont="1" applyAlignment="1" applyProtection="1">
      <alignment/>
      <protection locked="0"/>
    </xf>
    <xf numFmtId="20" fontId="7" fillId="3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20" fontId="7" fillId="0" borderId="0" xfId="0" applyNumberFormat="1" applyFont="1" applyFill="1" applyAlignment="1">
      <alignment/>
    </xf>
    <xf numFmtId="16" fontId="7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6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1" xfId="0" applyFont="1" applyBorder="1" applyAlignment="1">
      <alignment/>
    </xf>
    <xf numFmtId="0" fontId="0" fillId="0" borderId="0" xfId="0" applyFill="1" applyAlignment="1">
      <alignment/>
    </xf>
    <xf numFmtId="0" fontId="8" fillId="2" borderId="0" xfId="0" applyFont="1" applyFill="1" applyAlignment="1" applyProtection="1">
      <alignment/>
      <protection/>
    </xf>
    <xf numFmtId="0" fontId="15" fillId="0" borderId="0" xfId="0" applyFont="1" applyAlignment="1">
      <alignment horizontal="centerContinuous"/>
    </xf>
    <xf numFmtId="2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21" applyFont="1" applyBorder="1">
      <alignment/>
      <protection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20" fillId="0" borderId="3" xfId="21" applyFont="1" applyBorder="1">
      <alignment/>
      <protection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3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 vertical="top"/>
    </xf>
    <xf numFmtId="0" fontId="23" fillId="0" borderId="4" xfId="21" applyFont="1" applyBorder="1" applyAlignment="1">
      <alignment horizontal="center"/>
      <protection/>
    </xf>
    <xf numFmtId="0" fontId="26" fillId="0" borderId="5" xfId="0" applyFont="1" applyFill="1" applyBorder="1" applyAlignment="1">
      <alignment horizontal="centerContinuous" vertical="center"/>
    </xf>
    <xf numFmtId="0" fontId="15" fillId="0" borderId="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6" fillId="0" borderId="7" xfId="0" applyFont="1" applyFill="1" applyBorder="1" applyAlignment="1">
      <alignment horizontal="centerContinuous" vertical="center"/>
    </xf>
    <xf numFmtId="0" fontId="15" fillId="0" borderId="7" xfId="0" applyFont="1" applyFill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15" fillId="0" borderId="5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5" fillId="0" borderId="0" xfId="21" applyFont="1">
      <alignment/>
      <protection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4" borderId="11" xfId="0" applyFont="1" applyFill="1" applyBorder="1" applyAlignment="1">
      <alignment/>
    </xf>
    <xf numFmtId="0" fontId="15" fillId="4" borderId="12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188" fontId="15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4" borderId="15" xfId="0" applyFont="1" applyFill="1" applyBorder="1" applyAlignment="1">
      <alignment/>
    </xf>
    <xf numFmtId="0" fontId="15" fillId="4" borderId="3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15" fillId="0" borderId="17" xfId="0" applyFont="1" applyBorder="1" applyAlignment="1">
      <alignment/>
    </xf>
    <xf numFmtId="189" fontId="21" fillId="0" borderId="0" xfId="0" applyNumberFormat="1" applyFont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5" fillId="0" borderId="12" xfId="0" applyFont="1" applyBorder="1" applyAlignment="1">
      <alignment vertical="top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28" fillId="0" borderId="0" xfId="0" applyFont="1" applyBorder="1" applyAlignment="1">
      <alignment vertical="top"/>
    </xf>
    <xf numFmtId="0" fontId="28" fillId="0" borderId="20" xfId="0" applyFont="1" applyBorder="1" applyAlignment="1">
      <alignment horizontal="right" vertical="top"/>
    </xf>
    <xf numFmtId="0" fontId="28" fillId="4" borderId="21" xfId="0" applyFont="1" applyFill="1" applyBorder="1" applyAlignment="1">
      <alignment/>
    </xf>
    <xf numFmtId="0" fontId="28" fillId="0" borderId="22" xfId="0" applyFont="1" applyFill="1" applyBorder="1" applyAlignment="1">
      <alignment horizontal="center"/>
    </xf>
    <xf numFmtId="0" fontId="28" fillId="4" borderId="23" xfId="0" applyFont="1" applyFill="1" applyBorder="1" applyAlignment="1">
      <alignment horizontal="left"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left"/>
    </xf>
    <xf numFmtId="0" fontId="28" fillId="0" borderId="21" xfId="0" applyFont="1" applyFill="1" applyBorder="1" applyAlignment="1">
      <alignment/>
    </xf>
    <xf numFmtId="0" fontId="28" fillId="0" borderId="23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vertical="top"/>
    </xf>
    <xf numFmtId="0" fontId="15" fillId="0" borderId="5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14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19" xfId="0" applyFont="1" applyBorder="1" applyAlignment="1">
      <alignment horizontal="center" vertical="top"/>
    </xf>
    <xf numFmtId="0" fontId="15" fillId="0" borderId="3" xfId="0" applyFont="1" applyBorder="1" applyAlignment="1">
      <alignment vertical="top"/>
    </xf>
    <xf numFmtId="0" fontId="21" fillId="0" borderId="8" xfId="0" applyFont="1" applyBorder="1" applyAlignment="1">
      <alignment vertical="top" wrapText="1"/>
    </xf>
    <xf numFmtId="0" fontId="15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/>
    </xf>
    <xf numFmtId="0" fontId="15" fillId="0" borderId="7" xfId="0" applyFont="1" applyFill="1" applyBorder="1" applyAlignment="1">
      <alignment horizontal="center"/>
    </xf>
    <xf numFmtId="0" fontId="15" fillId="0" borderId="5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7" xfId="0" applyFont="1" applyBorder="1" applyAlignment="1">
      <alignment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15" fillId="0" borderId="7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8" xfId="0" applyFont="1" applyFill="1" applyBorder="1" applyAlignment="1">
      <alignment vertical="center"/>
    </xf>
    <xf numFmtId="0" fontId="15" fillId="0" borderId="0" xfId="0" applyNumberFormat="1" applyFont="1" applyAlignment="1">
      <alignment/>
    </xf>
    <xf numFmtId="0" fontId="21" fillId="0" borderId="8" xfId="0" applyFont="1" applyBorder="1" applyAlignment="1">
      <alignment wrapText="1"/>
    </xf>
    <xf numFmtId="0" fontId="20" fillId="0" borderId="0" xfId="0" applyFont="1" applyFill="1" applyBorder="1" applyAlignment="1">
      <alignment/>
    </xf>
    <xf numFmtId="0" fontId="28" fillId="0" borderId="22" xfId="0" applyFont="1" applyBorder="1" applyAlignment="1">
      <alignment horizontal="right" vertical="top"/>
    </xf>
    <xf numFmtId="0" fontId="30" fillId="0" borderId="8" xfId="0" applyFont="1" applyFill="1" applyBorder="1" applyAlignment="1">
      <alignment vertical="center"/>
    </xf>
    <xf numFmtId="0" fontId="24" fillId="0" borderId="0" xfId="0" applyFont="1" applyAlignment="1">
      <alignment horizontal="centerContinuous"/>
    </xf>
    <xf numFmtId="0" fontId="20" fillId="0" borderId="0" xfId="0" applyNumberFormat="1" applyFont="1" applyAlignment="1">
      <alignment/>
    </xf>
    <xf numFmtId="0" fontId="20" fillId="0" borderId="3" xfId="0" applyFont="1" applyFill="1" applyBorder="1" applyAlignment="1">
      <alignment/>
    </xf>
    <xf numFmtId="0" fontId="20" fillId="0" borderId="7" xfId="0" applyFont="1" applyBorder="1" applyAlignment="1">
      <alignment/>
    </xf>
    <xf numFmtId="20" fontId="20" fillId="0" borderId="7" xfId="0" applyNumberFormat="1" applyFont="1" applyBorder="1" applyAlignment="1">
      <alignment/>
    </xf>
    <xf numFmtId="0" fontId="21" fillId="0" borderId="7" xfId="0" applyFont="1" applyBorder="1" applyAlignment="1">
      <alignment/>
    </xf>
    <xf numFmtId="0" fontId="20" fillId="0" borderId="7" xfId="21" applyFont="1" applyBorder="1">
      <alignment/>
      <protection/>
    </xf>
    <xf numFmtId="49" fontId="20" fillId="0" borderId="7" xfId="0" applyNumberFormat="1" applyFont="1" applyBorder="1" applyAlignment="1">
      <alignment/>
    </xf>
    <xf numFmtId="0" fontId="20" fillId="0" borderId="7" xfId="0" applyFont="1" applyBorder="1" applyAlignment="1">
      <alignment horizontal="left"/>
    </xf>
    <xf numFmtId="0" fontId="20" fillId="0" borderId="7" xfId="0" applyFont="1" applyBorder="1" applyAlignment="1">
      <alignment/>
    </xf>
    <xf numFmtId="0" fontId="20" fillId="0" borderId="7" xfId="0" applyFont="1" applyFill="1" applyBorder="1" applyAlignment="1">
      <alignment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1" xfId="0" applyFont="1" applyFill="1" applyBorder="1" applyAlignment="1">
      <alignment/>
    </xf>
    <xf numFmtId="0" fontId="31" fillId="0" borderId="7" xfId="0" applyFont="1" applyBorder="1" applyAlignment="1">
      <alignment horizontal="center"/>
    </xf>
    <xf numFmtId="0" fontId="31" fillId="0" borderId="6" xfId="0" applyFont="1" applyBorder="1" applyAlignment="1">
      <alignment horizontal="center" vertical="top" wrapText="1"/>
    </xf>
    <xf numFmtId="0" fontId="31" fillId="0" borderId="5" xfId="0" applyFont="1" applyBorder="1" applyAlignment="1">
      <alignment/>
    </xf>
    <xf numFmtId="0" fontId="31" fillId="0" borderId="6" xfId="0" applyFont="1" applyBorder="1" applyAlignment="1">
      <alignment/>
    </xf>
    <xf numFmtId="0" fontId="31" fillId="0" borderId="5" xfId="0" applyFont="1" applyBorder="1" applyAlignment="1">
      <alignment horizontal="center" vertical="top" wrapText="1"/>
    </xf>
    <xf numFmtId="0" fontId="15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5" fillId="4" borderId="24" xfId="0" applyFont="1" applyFill="1" applyBorder="1" applyAlignment="1">
      <alignment/>
    </xf>
    <xf numFmtId="0" fontId="13" fillId="4" borderId="25" xfId="0" applyFont="1" applyFill="1" applyBorder="1" applyAlignment="1">
      <alignment/>
    </xf>
    <xf numFmtId="0" fontId="13" fillId="4" borderId="24" xfId="0" applyFont="1" applyFill="1" applyBorder="1" applyAlignment="1">
      <alignment/>
    </xf>
    <xf numFmtId="0" fontId="15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0" fontId="13" fillId="4" borderId="0" xfId="0" applyFont="1" applyFill="1" applyAlignment="1">
      <alignment/>
    </xf>
    <xf numFmtId="0" fontId="15" fillId="0" borderId="0" xfId="0" applyFont="1" applyFill="1" applyAlignment="1">
      <alignment/>
    </xf>
    <xf numFmtId="0" fontId="32" fillId="2" borderId="0" xfId="0" applyFont="1" applyFill="1" applyAlignment="1" applyProtection="1">
      <alignment horizontal="right"/>
      <protection locked="0"/>
    </xf>
    <xf numFmtId="0" fontId="33" fillId="0" borderId="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</cellXfs>
  <cellStyles count="10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Standard_MANNSCHA" xfId="20"/>
    <cellStyle name="Standard_SEN-SA94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9" sqref="B9:C9"/>
    </sheetView>
  </sheetViews>
  <sheetFormatPr defaultColWidth="11.421875" defaultRowHeight="12.75"/>
  <sheetData>
    <row r="1" spans="1:8" s="24" customFormat="1" ht="18">
      <c r="A1" s="198" t="s">
        <v>96</v>
      </c>
      <c r="B1" s="198"/>
      <c r="C1" s="198"/>
      <c r="D1" s="198"/>
      <c r="E1" s="198"/>
      <c r="F1" s="198"/>
      <c r="G1" s="198"/>
      <c r="H1" s="198"/>
    </row>
    <row r="2" spans="1:8" s="24" customFormat="1" ht="18">
      <c r="A2" s="198" t="s">
        <v>97</v>
      </c>
      <c r="B2" s="198"/>
      <c r="C2" s="198"/>
      <c r="D2" s="198"/>
      <c r="E2" s="198"/>
      <c r="F2" s="198"/>
      <c r="G2" s="198"/>
      <c r="H2" s="198"/>
    </row>
    <row r="3" spans="1:8" s="24" customFormat="1" ht="18">
      <c r="A3" s="198" t="s">
        <v>174</v>
      </c>
      <c r="B3" s="198"/>
      <c r="C3" s="198"/>
      <c r="D3" s="198"/>
      <c r="E3" s="198"/>
      <c r="F3" s="198"/>
      <c r="G3" s="198"/>
      <c r="H3" s="198"/>
    </row>
    <row r="4" ht="6.75" customHeight="1"/>
    <row r="5" spans="1:8" ht="18.75" customHeight="1">
      <c r="A5" s="197" t="str">
        <f>+Daten!A38&amp;"   "&amp;Daten!A36&amp;" - "&amp;Daten!A37</f>
        <v>PV Gundernhausen   05.05.2007 - 06.05.2007</v>
      </c>
      <c r="B5" s="197"/>
      <c r="C5" s="197"/>
      <c r="D5" s="197"/>
      <c r="E5" s="197"/>
      <c r="F5" s="197"/>
      <c r="G5" s="197"/>
      <c r="H5" s="197"/>
    </row>
    <row r="7" spans="2:7" ht="15">
      <c r="B7" s="199" t="s">
        <v>98</v>
      </c>
      <c r="C7" s="199"/>
      <c r="F7" s="199" t="s">
        <v>99</v>
      </c>
      <c r="G7" s="199"/>
    </row>
    <row r="9" spans="2:7" s="25" customFormat="1" ht="19.5" customHeight="1">
      <c r="B9" s="197" t="str">
        <f>+Daten!F22</f>
        <v>2. West</v>
      </c>
      <c r="C9" s="197"/>
      <c r="F9" s="197" t="str">
        <f>+Daten!I22</f>
        <v>3. West</v>
      </c>
      <c r="G9" s="197"/>
    </row>
    <row r="10" spans="2:7" s="25" customFormat="1" ht="19.5" customHeight="1">
      <c r="B10" s="197" t="str">
        <f>+Daten!F23</f>
        <v>4. West</v>
      </c>
      <c r="C10" s="197"/>
      <c r="F10" s="197" t="str">
        <f>+Daten!I23</f>
        <v>1. West</v>
      </c>
      <c r="G10" s="197"/>
    </row>
    <row r="11" spans="2:7" s="25" customFormat="1" ht="19.5" customHeight="1">
      <c r="B11" s="197" t="str">
        <f>+Daten!F24</f>
        <v>3. Süd</v>
      </c>
      <c r="C11" s="197"/>
      <c r="F11" s="197" t="str">
        <f>+Daten!I24</f>
        <v>3. Nord</v>
      </c>
      <c r="G11" s="197"/>
    </row>
    <row r="12" spans="2:7" s="25" customFormat="1" ht="19.5" customHeight="1">
      <c r="B12" s="197" t="str">
        <f>+Daten!F25</f>
        <v>1. Süd</v>
      </c>
      <c r="C12" s="197"/>
      <c r="F12" s="197" t="str">
        <f>+Daten!I25</f>
        <v>2. Nord</v>
      </c>
      <c r="G12" s="197"/>
    </row>
    <row r="13" spans="2:7" s="25" customFormat="1" ht="19.5" customHeight="1">
      <c r="B13" s="197" t="str">
        <f>+Daten!F26</f>
        <v>1. Nord</v>
      </c>
      <c r="C13" s="197"/>
      <c r="F13" s="197" t="str">
        <f>+Daten!I26</f>
        <v>2. Süd</v>
      </c>
      <c r="G13" s="197"/>
    </row>
    <row r="14" s="28" customFormat="1" ht="12.75"/>
    <row r="15" s="28" customFormat="1" ht="12.75"/>
    <row r="16" spans="2:7" s="28" customFormat="1" ht="12.75">
      <c r="B16" s="200" t="str">
        <f>+Daten!C4</f>
        <v>weibl. Jugend 11-14</v>
      </c>
      <c r="C16" s="200"/>
      <c r="F16" s="200" t="str">
        <f>+Daten!F4</f>
        <v>weibl. Jugend 11-14</v>
      </c>
      <c r="G16" s="200"/>
    </row>
    <row r="17" spans="2:7" s="28" customFormat="1" ht="12.75">
      <c r="B17" s="200" t="str">
        <f>+Daten!C5</f>
        <v>Gruppe A</v>
      </c>
      <c r="C17" s="200"/>
      <c r="F17" s="200" t="str">
        <f>+Daten!F5</f>
        <v>Gruppe B</v>
      </c>
      <c r="G17" s="200"/>
    </row>
    <row r="18" spans="2:7" s="28" customFormat="1" ht="12.75">
      <c r="B18" s="201" t="str">
        <f>IF(Daten!C6="","",Daten!C6)</f>
        <v>TB Essen-Altendorf</v>
      </c>
      <c r="C18" s="201"/>
      <c r="F18" s="201" t="str">
        <f>IF(Daten!F6="","",Daten!F6)</f>
        <v>TV Hochneukirch</v>
      </c>
      <c r="G18" s="201"/>
    </row>
    <row r="19" spans="2:7" s="28" customFormat="1" ht="12.75">
      <c r="B19" s="201" t="str">
        <f>IF(Daten!C7="","",Daten!C7)</f>
        <v>PV Gundernhausen </v>
      </c>
      <c r="C19" s="201"/>
      <c r="F19" s="201" t="str">
        <f>IF(Daten!F7="","",Daten!F7)</f>
        <v>TV Zeilhard </v>
      </c>
      <c r="G19" s="201"/>
    </row>
    <row r="20" spans="2:7" s="28" customFormat="1" ht="12.75">
      <c r="B20" s="201" t="str">
        <f>IF(Daten!C8="","",Daten!C8)</f>
        <v>SV Weiler</v>
      </c>
      <c r="C20" s="201"/>
      <c r="F20" s="201" t="str">
        <f>IF(Daten!F8="","",Daten!F8)</f>
        <v>Vegesacker TV</v>
      </c>
      <c r="G20" s="201"/>
    </row>
    <row r="21" spans="2:7" s="28" customFormat="1" ht="12.75">
      <c r="B21" s="201" t="str">
        <f>IF(Daten!C9="","",Daten!C9)</f>
        <v>TV Freiburg St. Georgen</v>
      </c>
      <c r="C21" s="201"/>
      <c r="F21" s="201" t="str">
        <f>IF(Daten!F9="","",Daten!F9)</f>
        <v>BTV Charlottenburg</v>
      </c>
      <c r="G21" s="201"/>
    </row>
    <row r="22" spans="2:7" s="28" customFormat="1" ht="12.75">
      <c r="B22" s="201" t="str">
        <f>IF(Daten!C10="","",Daten!C10)</f>
        <v>TV Sottrum</v>
      </c>
      <c r="C22" s="201"/>
      <c r="F22" s="201" t="str">
        <f>IF(Daten!F10="","",Daten!F10)</f>
        <v>VfL Waiblingen</v>
      </c>
      <c r="G22" s="201"/>
    </row>
    <row r="23" s="28" customFormat="1" ht="12.75"/>
    <row r="24" spans="2:7" s="28" customFormat="1" ht="12.75">
      <c r="B24" s="200" t="str">
        <f>+Daten!C12</f>
        <v>weibl. Jugend 15-18</v>
      </c>
      <c r="C24" s="200"/>
      <c r="F24" s="200" t="str">
        <f>+Daten!F12</f>
        <v>weibl. Jugend 15-18</v>
      </c>
      <c r="G24" s="200"/>
    </row>
    <row r="25" spans="2:7" s="28" customFormat="1" ht="12.75">
      <c r="B25" s="200" t="str">
        <f>+Daten!C13</f>
        <v>Gruppe E</v>
      </c>
      <c r="C25" s="200"/>
      <c r="F25" s="200" t="str">
        <f>+Daten!F13</f>
        <v>Gruppe F</v>
      </c>
      <c r="G25" s="200"/>
    </row>
    <row r="26" spans="2:7" s="28" customFormat="1" ht="12.75">
      <c r="B26" s="201" t="str">
        <f>IF(Daten!C14="","",Daten!C14)</f>
        <v>TV Hochneukirch</v>
      </c>
      <c r="C26" s="201"/>
      <c r="F26" s="201" t="str">
        <f>IF(Daten!F14="","",Daten!F14)</f>
        <v>TV Berkenbaum </v>
      </c>
      <c r="G26" s="201"/>
    </row>
    <row r="27" spans="2:7" s="28" customFormat="1" ht="12.75">
      <c r="B27" s="201" t="str">
        <f>IF(Daten!C15="","",Daten!C15)</f>
        <v>TV Zeilhard</v>
      </c>
      <c r="C27" s="201"/>
      <c r="F27" s="201" t="str">
        <f>IF(Daten!F15="","",Daten!F15)</f>
        <v>TV Hemer </v>
      </c>
      <c r="G27" s="201"/>
    </row>
    <row r="28" spans="2:7" s="28" customFormat="1" ht="12.75">
      <c r="B28" s="201" t="str">
        <f>IF(Daten!C16="","",Daten!C16)</f>
        <v>TSV Babenhausen</v>
      </c>
      <c r="C28" s="201"/>
      <c r="F28" s="201" t="str">
        <f>IF(Daten!F16="","",Daten!F16)</f>
        <v>MTV Markoldendorf</v>
      </c>
      <c r="G28" s="201"/>
    </row>
    <row r="29" spans="2:7" s="28" customFormat="1" ht="12.75">
      <c r="B29" s="201" t="str">
        <f>IF(Daten!C17="","",Daten!C17)</f>
        <v>TV Freiburg St. Georgen</v>
      </c>
      <c r="C29" s="201"/>
      <c r="F29" s="201" t="str">
        <f>IF(Daten!F17="","",Daten!F17)</f>
        <v>TSV Marienfelde</v>
      </c>
      <c r="G29" s="201"/>
    </row>
    <row r="30" spans="2:7" s="28" customFormat="1" ht="12.75">
      <c r="B30" s="201" t="str">
        <f>IF(Daten!C18="","",Daten!C18)</f>
        <v>Vegesacker TV</v>
      </c>
      <c r="C30" s="201"/>
      <c r="F30" s="201" t="str">
        <f>IF(Daten!F18="","",Daten!F18)</f>
        <v>VfL Waiblingen</v>
      </c>
      <c r="G30" s="201"/>
    </row>
    <row r="31" s="28" customFormat="1" ht="12.75"/>
    <row r="32" spans="2:7" s="28" customFormat="1" ht="12.75">
      <c r="B32" s="200" t="str">
        <f>+Daten!I4</f>
        <v>männl. Jugend 11-14</v>
      </c>
      <c r="C32" s="200"/>
      <c r="F32" s="200" t="str">
        <f>+Daten!L4</f>
        <v>männl. Jugend 11-14</v>
      </c>
      <c r="G32" s="200"/>
    </row>
    <row r="33" spans="2:7" s="28" customFormat="1" ht="12.75">
      <c r="B33" s="200" t="str">
        <f>+Daten!I5</f>
        <v>Gruppe C</v>
      </c>
      <c r="C33" s="200"/>
      <c r="F33" s="200" t="str">
        <f>+Daten!L5</f>
        <v>Gruppe D</v>
      </c>
      <c r="G33" s="200"/>
    </row>
    <row r="34" spans="2:7" s="28" customFormat="1" ht="12.75">
      <c r="B34" s="201" t="str">
        <f>IF(Daten!I6="","",Daten!I6)</f>
        <v>GW Wuppertal</v>
      </c>
      <c r="C34" s="201"/>
      <c r="F34" s="201" t="str">
        <f>IF(Daten!L6="","",Daten!L6)</f>
        <v>Linden Dahlhauser TV</v>
      </c>
      <c r="G34" s="201"/>
    </row>
    <row r="35" spans="2:7" s="28" customFormat="1" ht="12.75">
      <c r="B35" s="201" t="str">
        <f>IF(Daten!I7="","",Daten!I7)</f>
        <v>PV Gundernhausen</v>
      </c>
      <c r="C35" s="201"/>
      <c r="F35" s="201" t="str">
        <f>IF(Daten!L7="","",Daten!L7)</f>
        <v>TV Zeilhard </v>
      </c>
      <c r="G35" s="201"/>
    </row>
    <row r="36" spans="2:7" s="28" customFormat="1" ht="12.75">
      <c r="B36" s="201" t="str">
        <f>IF(Daten!I8="","",Daten!I8)</f>
        <v>TV Mahndorf</v>
      </c>
      <c r="C36" s="201"/>
      <c r="F36" s="201" t="str">
        <f>IF(Daten!L8="","",Daten!L8)</f>
        <v>TuS Harsefeld</v>
      </c>
      <c r="G36" s="201"/>
    </row>
    <row r="37" spans="2:7" s="28" customFormat="1" ht="12.75">
      <c r="B37" s="201" t="str">
        <f>IF(Daten!I9="","",Daten!I9)</f>
        <v>VfL Waiblingen</v>
      </c>
      <c r="C37" s="201"/>
      <c r="F37" s="201" t="str">
        <f>IF(Daten!L9="","",Daten!L9)</f>
        <v>MTV Markoldendorf</v>
      </c>
      <c r="G37" s="201"/>
    </row>
    <row r="38" spans="2:7" s="28" customFormat="1" ht="12.75">
      <c r="B38" s="201" t="str">
        <f>IF(Daten!I10="","",Daten!I10)</f>
        <v>Vegesacker TV</v>
      </c>
      <c r="C38" s="201"/>
      <c r="F38" s="201" t="str">
        <f>IF(Daten!L10="","",Daten!L10)</f>
        <v>TSV Ludwigshafen</v>
      </c>
      <c r="G38" s="201"/>
    </row>
    <row r="39" s="28" customFormat="1" ht="12.75"/>
    <row r="40" spans="2:7" s="28" customFormat="1" ht="12.75">
      <c r="B40" s="200" t="str">
        <f>+Daten!I12</f>
        <v>männl. Jugend 15-18</v>
      </c>
      <c r="C40" s="200"/>
      <c r="F40" s="200" t="str">
        <f>+Daten!L12</f>
        <v>männl. Jugend 15-18</v>
      </c>
      <c r="G40" s="200"/>
    </row>
    <row r="41" spans="2:7" s="28" customFormat="1" ht="12.75">
      <c r="B41" s="200" t="str">
        <f>+Daten!I13</f>
        <v>Gruppe G</v>
      </c>
      <c r="C41" s="200"/>
      <c r="F41" s="200" t="str">
        <f>+Daten!L13</f>
        <v>Gruppe H</v>
      </c>
      <c r="G41" s="200"/>
    </row>
    <row r="42" spans="2:7" s="28" customFormat="1" ht="12.75">
      <c r="B42" s="201" t="str">
        <f>IF(Daten!I14="","",Daten!I14)</f>
        <v>TV Zeilhard</v>
      </c>
      <c r="C42" s="201"/>
      <c r="F42" s="201" t="str">
        <f>IF(Daten!L14="","",Daten!L14)</f>
        <v>Linden Dahlhauser TV</v>
      </c>
      <c r="G42" s="201"/>
    </row>
    <row r="43" spans="2:7" s="28" customFormat="1" ht="12.75">
      <c r="B43" s="201" t="str">
        <f>IF(Daten!I15="","",Daten!I15)</f>
        <v>TV Kierdorf</v>
      </c>
      <c r="C43" s="201"/>
      <c r="F43" s="201" t="str">
        <f>IF(Daten!L15="","",Daten!L15)</f>
        <v>TV Berkenbaum</v>
      </c>
      <c r="G43" s="201"/>
    </row>
    <row r="44" spans="2:7" ht="12.75">
      <c r="B44" s="201" t="str">
        <f>IF(Daten!I16="","",Daten!I16)</f>
        <v>SV Weiler</v>
      </c>
      <c r="C44" s="201"/>
      <c r="F44" s="201" t="str">
        <f>IF(Daten!L16="","",Daten!L16)</f>
        <v>TSV Burgdorf</v>
      </c>
      <c r="G44" s="201"/>
    </row>
    <row r="45" spans="2:7" ht="12.75">
      <c r="B45" s="201" t="str">
        <f>IF(Daten!I17="","",Daten!I17)</f>
        <v>TV Huchenfeld</v>
      </c>
      <c r="C45" s="201"/>
      <c r="F45" s="201" t="str">
        <f>IF(Daten!L17="","",Daten!L17)</f>
        <v>MTV Jahn Schladen</v>
      </c>
      <c r="G45" s="201"/>
    </row>
    <row r="46" spans="2:7" ht="12.75">
      <c r="B46" s="201" t="str">
        <f>IF(Daten!I18="","",Daten!I18)</f>
        <v>TuS Aschen-Strang</v>
      </c>
      <c r="C46" s="201"/>
      <c r="F46" s="201" t="str">
        <f>IF(Daten!L18="","",Daten!L18)</f>
        <v>VfL Waiblingen</v>
      </c>
      <c r="G46" s="201"/>
    </row>
  </sheetData>
  <mergeCells count="72">
    <mergeCell ref="B44:C44"/>
    <mergeCell ref="B45:C45"/>
    <mergeCell ref="B46:C46"/>
    <mergeCell ref="F40:G40"/>
    <mergeCell ref="F41:G41"/>
    <mergeCell ref="F42:G42"/>
    <mergeCell ref="F43:G43"/>
    <mergeCell ref="F44:G44"/>
    <mergeCell ref="F45:G45"/>
    <mergeCell ref="F46:G46"/>
    <mergeCell ref="B40:C40"/>
    <mergeCell ref="B41:C41"/>
    <mergeCell ref="B42:C42"/>
    <mergeCell ref="B43:C43"/>
    <mergeCell ref="B36:C36"/>
    <mergeCell ref="B37:C37"/>
    <mergeCell ref="B38:C38"/>
    <mergeCell ref="F32:G32"/>
    <mergeCell ref="F33:G33"/>
    <mergeCell ref="F34:G34"/>
    <mergeCell ref="F35:G35"/>
    <mergeCell ref="F36:G36"/>
    <mergeCell ref="F37:G37"/>
    <mergeCell ref="F38:G38"/>
    <mergeCell ref="B32:C32"/>
    <mergeCell ref="B33:C33"/>
    <mergeCell ref="B34:C34"/>
    <mergeCell ref="B35:C35"/>
    <mergeCell ref="B28:C28"/>
    <mergeCell ref="B29:C29"/>
    <mergeCell ref="B30:C30"/>
    <mergeCell ref="F24:G24"/>
    <mergeCell ref="F25:G25"/>
    <mergeCell ref="F26:G26"/>
    <mergeCell ref="F27:G27"/>
    <mergeCell ref="F28:G28"/>
    <mergeCell ref="F29:G29"/>
    <mergeCell ref="F30:G30"/>
    <mergeCell ref="B24:C24"/>
    <mergeCell ref="B25:C25"/>
    <mergeCell ref="B26:C26"/>
    <mergeCell ref="B27:C27"/>
    <mergeCell ref="B20:C20"/>
    <mergeCell ref="B21:C21"/>
    <mergeCell ref="B22:C22"/>
    <mergeCell ref="F16:G16"/>
    <mergeCell ref="F17:G17"/>
    <mergeCell ref="F18:G18"/>
    <mergeCell ref="F19:G19"/>
    <mergeCell ref="F20:G20"/>
    <mergeCell ref="F21:G21"/>
    <mergeCell ref="F22:G22"/>
    <mergeCell ref="B17:C17"/>
    <mergeCell ref="B16:C16"/>
    <mergeCell ref="B18:C18"/>
    <mergeCell ref="B19:C19"/>
    <mergeCell ref="A1:H1"/>
    <mergeCell ref="A2:H2"/>
    <mergeCell ref="A3:H3"/>
    <mergeCell ref="B7:C7"/>
    <mergeCell ref="F7:G7"/>
    <mergeCell ref="A5:H5"/>
    <mergeCell ref="B13:C13"/>
    <mergeCell ref="F9:G9"/>
    <mergeCell ref="F10:G10"/>
    <mergeCell ref="F11:G11"/>
    <mergeCell ref="F12:G12"/>
    <mergeCell ref="F13:G13"/>
    <mergeCell ref="B9:C9"/>
    <mergeCell ref="B10:C10"/>
    <mergeCell ref="B11:C11"/>
    <mergeCell ref="B12:C1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23"/>
  <sheetViews>
    <sheetView workbookViewId="0" topLeftCell="E1">
      <selection activeCell="M30" sqref="M30"/>
    </sheetView>
  </sheetViews>
  <sheetFormatPr defaultColWidth="11.421875" defaultRowHeight="12.75"/>
  <cols>
    <col min="1" max="1" width="15.7109375" style="28" customWidth="1"/>
    <col min="2" max="2" width="3.00390625" style="28" customWidth="1"/>
    <col min="3" max="3" width="15.7109375" style="28" customWidth="1"/>
    <col min="4" max="4" width="3.00390625" style="28" customWidth="1"/>
    <col min="5" max="5" width="15.7109375" style="28" customWidth="1"/>
    <col min="6" max="6" width="3.00390625" style="28" customWidth="1"/>
    <col min="7" max="7" width="15.7109375" style="28" customWidth="1"/>
    <col min="8" max="8" width="3.00390625" style="28" customWidth="1"/>
    <col min="9" max="9" width="15.7109375" style="28" customWidth="1"/>
    <col min="10" max="10" width="3.00390625" style="28" customWidth="1"/>
    <col min="11" max="11" width="15.7109375" style="28" customWidth="1"/>
    <col min="12" max="12" width="3.00390625" style="28" customWidth="1"/>
    <col min="13" max="13" width="15.7109375" style="28" customWidth="1"/>
    <col min="14" max="14" width="3.00390625" style="28" customWidth="1"/>
    <col min="15" max="15" width="15.7109375" style="28" customWidth="1"/>
    <col min="16" max="16" width="3.00390625" style="28" customWidth="1"/>
    <col min="17" max="17" width="15.7109375" style="28" customWidth="1"/>
    <col min="18" max="18" width="3.00390625" style="28" customWidth="1"/>
    <col min="19" max="19" width="15.7109375" style="28" customWidth="1"/>
    <col min="20" max="20" width="3.00390625" style="28" customWidth="1"/>
    <col min="21" max="21" width="15.7109375" style="28" customWidth="1"/>
    <col min="22" max="22" width="3.00390625" style="28" customWidth="1"/>
    <col min="23" max="23" width="15.7109375" style="28" customWidth="1"/>
    <col min="24" max="24" width="3.00390625" style="28" customWidth="1"/>
    <col min="25" max="16384" width="11.421875" style="28" customWidth="1"/>
  </cols>
  <sheetData>
    <row r="2" spans="3:22" s="29" customFormat="1" ht="20.25">
      <c r="C2" s="205" t="str">
        <f>+Daten!A1&amp;" "&amp;Daten!B1&amp;" "&amp;Daten!I1</f>
        <v>44. Deutsche Prellball Meisterschaften der Jugend 2007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3:22" s="29" customFormat="1" ht="20.25"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3:22" s="29" customFormat="1" ht="20.25">
      <c r="C4" s="205" t="str">
        <f>"Ausrichter: "&amp;Daten!A38&amp;";   "&amp;Daten!A36&amp;" - "&amp;Daten!A37</f>
        <v>Ausrichter: PV Gundernhausen;   05.05.2007 - 06.05.2007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7" spans="1:24" ht="13.5" thickBot="1">
      <c r="A7" s="202" t="s">
        <v>103</v>
      </c>
      <c r="B7" s="203"/>
      <c r="C7" s="203"/>
      <c r="D7" s="203"/>
      <c r="E7" s="203"/>
      <c r="F7" s="203"/>
      <c r="G7" s="203"/>
      <c r="H7" s="204"/>
      <c r="I7" s="202" t="s">
        <v>104</v>
      </c>
      <c r="J7" s="203"/>
      <c r="K7" s="203"/>
      <c r="L7" s="203"/>
      <c r="M7" s="203"/>
      <c r="N7" s="203"/>
      <c r="O7" s="203"/>
      <c r="P7" s="204"/>
      <c r="Q7" s="202" t="s">
        <v>105</v>
      </c>
      <c r="R7" s="203"/>
      <c r="S7" s="203"/>
      <c r="T7" s="203"/>
      <c r="U7" s="203"/>
      <c r="V7" s="203"/>
      <c r="W7" s="203"/>
      <c r="X7" s="204"/>
    </row>
    <row r="8" spans="1:24" ht="12.75">
      <c r="A8" s="189" t="s">
        <v>118</v>
      </c>
      <c r="B8" s="30"/>
      <c r="G8" s="31"/>
      <c r="H8" s="32"/>
      <c r="I8" s="193" t="s">
        <v>118</v>
      </c>
      <c r="O8" s="31"/>
      <c r="P8" s="32"/>
      <c r="Q8" s="193" t="s">
        <v>118</v>
      </c>
      <c r="W8" s="31"/>
      <c r="X8" s="33"/>
    </row>
    <row r="9" spans="1:24" ht="12.75">
      <c r="A9" s="188" t="s">
        <v>106</v>
      </c>
      <c r="B9" s="35" t="s">
        <v>127</v>
      </c>
      <c r="C9" s="191" t="s">
        <v>107</v>
      </c>
      <c r="D9" s="35" t="s">
        <v>128</v>
      </c>
      <c r="E9" s="191" t="s">
        <v>108</v>
      </c>
      <c r="F9" s="35" t="s">
        <v>129</v>
      </c>
      <c r="G9" s="192" t="s">
        <v>109</v>
      </c>
      <c r="H9" s="35" t="s">
        <v>130</v>
      </c>
      <c r="I9" s="191" t="s">
        <v>110</v>
      </c>
      <c r="J9" s="35" t="s">
        <v>131</v>
      </c>
      <c r="K9" s="191" t="s">
        <v>111</v>
      </c>
      <c r="L9" s="35" t="s">
        <v>132</v>
      </c>
      <c r="M9" s="191" t="s">
        <v>112</v>
      </c>
      <c r="N9" s="35" t="s">
        <v>133</v>
      </c>
      <c r="O9" s="192" t="s">
        <v>113</v>
      </c>
      <c r="P9" s="35" t="s">
        <v>134</v>
      </c>
      <c r="Q9" s="191" t="s">
        <v>114</v>
      </c>
      <c r="R9" s="180" t="s">
        <v>139</v>
      </c>
      <c r="S9" s="191" t="s">
        <v>115</v>
      </c>
      <c r="T9" s="35" t="s">
        <v>140</v>
      </c>
      <c r="U9" s="191" t="s">
        <v>116</v>
      </c>
      <c r="V9" s="35" t="s">
        <v>141</v>
      </c>
      <c r="W9" s="192" t="s">
        <v>117</v>
      </c>
      <c r="X9" s="196" t="s">
        <v>142</v>
      </c>
    </row>
    <row r="10" spans="1:52" ht="12.75">
      <c r="A10" s="187" t="s">
        <v>152</v>
      </c>
      <c r="B10" s="37" t="s">
        <v>123</v>
      </c>
      <c r="C10" s="36" t="s">
        <v>157</v>
      </c>
      <c r="D10" s="37" t="s">
        <v>124</v>
      </c>
      <c r="E10" s="36" t="s">
        <v>153</v>
      </c>
      <c r="F10" s="37" t="s">
        <v>125</v>
      </c>
      <c r="G10" s="55" t="s">
        <v>156</v>
      </c>
      <c r="H10" s="37" t="s">
        <v>126</v>
      </c>
      <c r="I10" s="36" t="s">
        <v>159</v>
      </c>
      <c r="J10" s="37" t="s">
        <v>135</v>
      </c>
      <c r="K10" s="36" t="s">
        <v>160</v>
      </c>
      <c r="L10" s="37" t="s">
        <v>136</v>
      </c>
      <c r="M10" s="36" t="s">
        <v>175</v>
      </c>
      <c r="N10" s="37" t="s">
        <v>137</v>
      </c>
      <c r="O10" s="36" t="s">
        <v>176</v>
      </c>
      <c r="P10" s="37" t="s">
        <v>138</v>
      </c>
      <c r="Q10" s="36" t="s">
        <v>178</v>
      </c>
      <c r="R10" s="37" t="s">
        <v>143</v>
      </c>
      <c r="S10" s="36" t="s">
        <v>179</v>
      </c>
      <c r="T10" s="37" t="s">
        <v>144</v>
      </c>
      <c r="U10" s="36" t="s">
        <v>180</v>
      </c>
      <c r="V10" s="37" t="s">
        <v>145</v>
      </c>
      <c r="W10" s="36" t="s">
        <v>181</v>
      </c>
      <c r="X10" s="37" t="s">
        <v>146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</row>
    <row r="11" spans="1:24" ht="12.75">
      <c r="A11" s="186"/>
      <c r="B11" s="32"/>
      <c r="D11" s="32"/>
      <c r="F11" s="32"/>
      <c r="G11" s="31"/>
      <c r="H11" s="32"/>
      <c r="I11" s="36"/>
      <c r="J11" s="37"/>
      <c r="L11" s="32"/>
      <c r="N11" s="32"/>
      <c r="O11" s="31"/>
      <c r="P11" s="32"/>
      <c r="R11" s="32"/>
      <c r="T11" s="32"/>
      <c r="V11" s="32"/>
      <c r="W11" s="31"/>
      <c r="X11" s="32"/>
    </row>
    <row r="12" spans="1:24" ht="12.75">
      <c r="A12" s="190" t="s">
        <v>119</v>
      </c>
      <c r="B12" s="32"/>
      <c r="D12" s="32"/>
      <c r="F12" s="32"/>
      <c r="G12" s="31"/>
      <c r="H12" s="32"/>
      <c r="I12" s="193" t="s">
        <v>119</v>
      </c>
      <c r="J12" s="32"/>
      <c r="L12" s="32"/>
      <c r="N12" s="32"/>
      <c r="O12" s="31"/>
      <c r="P12" s="32"/>
      <c r="Q12" s="193" t="s">
        <v>119</v>
      </c>
      <c r="R12" s="32"/>
      <c r="S12" s="194"/>
      <c r="T12" s="32"/>
      <c r="V12" s="32"/>
      <c r="W12" s="31"/>
      <c r="X12" s="32"/>
    </row>
    <row r="13" spans="1:24" ht="12.75">
      <c r="A13" s="188" t="s">
        <v>106</v>
      </c>
      <c r="B13" s="35" t="s">
        <v>127</v>
      </c>
      <c r="C13" s="191" t="s">
        <v>107</v>
      </c>
      <c r="D13" s="35" t="s">
        <v>128</v>
      </c>
      <c r="E13" s="191" t="s">
        <v>108</v>
      </c>
      <c r="F13" s="35" t="s">
        <v>129</v>
      </c>
      <c r="G13" s="192" t="s">
        <v>109</v>
      </c>
      <c r="H13" s="35" t="s">
        <v>130</v>
      </c>
      <c r="I13" s="191" t="s">
        <v>110</v>
      </c>
      <c r="J13" s="35" t="s">
        <v>131</v>
      </c>
      <c r="K13" s="191" t="s">
        <v>111</v>
      </c>
      <c r="L13" s="35" t="s">
        <v>132</v>
      </c>
      <c r="M13" s="191" t="s">
        <v>112</v>
      </c>
      <c r="N13" s="35" t="s">
        <v>133</v>
      </c>
      <c r="O13" s="192" t="s">
        <v>113</v>
      </c>
      <c r="P13" s="35" t="s">
        <v>134</v>
      </c>
      <c r="Q13" s="191" t="s">
        <v>114</v>
      </c>
      <c r="R13" s="180" t="s">
        <v>139</v>
      </c>
      <c r="S13" s="191" t="s">
        <v>115</v>
      </c>
      <c r="T13" s="35" t="s">
        <v>140</v>
      </c>
      <c r="U13" s="191" t="s">
        <v>116</v>
      </c>
      <c r="V13" s="35" t="s">
        <v>141</v>
      </c>
      <c r="W13" s="192" t="s">
        <v>117</v>
      </c>
      <c r="X13" s="196" t="s">
        <v>142</v>
      </c>
    </row>
    <row r="14" spans="1:24" ht="12.75">
      <c r="A14" s="187" t="s">
        <v>153</v>
      </c>
      <c r="B14" s="37" t="s">
        <v>123</v>
      </c>
      <c r="C14" s="36" t="s">
        <v>157</v>
      </c>
      <c r="D14" s="37" t="s">
        <v>124</v>
      </c>
      <c r="E14" s="36" t="s">
        <v>151</v>
      </c>
      <c r="F14" s="37" t="s">
        <v>125</v>
      </c>
      <c r="G14" s="55" t="s">
        <v>154</v>
      </c>
      <c r="H14" s="37" t="s">
        <v>126</v>
      </c>
      <c r="I14" s="36" t="s">
        <v>159</v>
      </c>
      <c r="J14" s="37" t="s">
        <v>135</v>
      </c>
      <c r="K14" s="36" t="s">
        <v>160</v>
      </c>
      <c r="L14" s="37" t="s">
        <v>136</v>
      </c>
      <c r="M14" s="36" t="s">
        <v>161</v>
      </c>
      <c r="N14" s="37" t="s">
        <v>137</v>
      </c>
      <c r="O14" s="36" t="s">
        <v>177</v>
      </c>
      <c r="P14" s="37" t="s">
        <v>147</v>
      </c>
      <c r="Q14" s="36" t="s">
        <v>184</v>
      </c>
      <c r="R14" s="37" t="s">
        <v>143</v>
      </c>
      <c r="S14" s="36" t="s">
        <v>180</v>
      </c>
      <c r="T14" s="37" t="s">
        <v>144</v>
      </c>
      <c r="U14" s="36" t="s">
        <v>185</v>
      </c>
      <c r="V14" s="37" t="s">
        <v>145</v>
      </c>
      <c r="W14" s="36" t="s">
        <v>148</v>
      </c>
      <c r="X14" s="37" t="s">
        <v>146</v>
      </c>
    </row>
    <row r="15" spans="1:24" ht="12.75">
      <c r="A15" s="186"/>
      <c r="B15" s="32"/>
      <c r="D15" s="32"/>
      <c r="F15" s="32"/>
      <c r="G15" s="31"/>
      <c r="H15" s="32"/>
      <c r="J15" s="32"/>
      <c r="L15" s="32"/>
      <c r="N15" s="32"/>
      <c r="P15" s="32"/>
      <c r="R15" s="32"/>
      <c r="T15" s="32"/>
      <c r="V15" s="32"/>
      <c r="X15" s="32"/>
    </row>
    <row r="16" spans="1:24" ht="12.75">
      <c r="A16" s="190" t="s">
        <v>120</v>
      </c>
      <c r="B16" s="32"/>
      <c r="D16" s="32"/>
      <c r="F16" s="32"/>
      <c r="H16" s="32"/>
      <c r="I16" s="193" t="s">
        <v>120</v>
      </c>
      <c r="J16" s="32"/>
      <c r="L16" s="32"/>
      <c r="N16" s="32"/>
      <c r="P16" s="32"/>
      <c r="Q16" s="193" t="s">
        <v>120</v>
      </c>
      <c r="R16" s="32"/>
      <c r="T16" s="32"/>
      <c r="V16" s="32"/>
      <c r="X16" s="32"/>
    </row>
    <row r="17" spans="1:24" ht="12.75">
      <c r="A17" s="188" t="s">
        <v>106</v>
      </c>
      <c r="B17" s="35" t="s">
        <v>127</v>
      </c>
      <c r="C17" s="191" t="s">
        <v>107</v>
      </c>
      <c r="D17" s="35" t="s">
        <v>128</v>
      </c>
      <c r="E17" s="191" t="s">
        <v>108</v>
      </c>
      <c r="F17" s="35" t="s">
        <v>129</v>
      </c>
      <c r="G17" s="192" t="s">
        <v>109</v>
      </c>
      <c r="H17" s="35" t="s">
        <v>130</v>
      </c>
      <c r="I17" s="191" t="s">
        <v>110</v>
      </c>
      <c r="J17" s="35" t="s">
        <v>131</v>
      </c>
      <c r="K17" s="191" t="s">
        <v>111</v>
      </c>
      <c r="L17" s="35" t="s">
        <v>132</v>
      </c>
      <c r="M17" s="191" t="s">
        <v>112</v>
      </c>
      <c r="N17" s="35" t="s">
        <v>133</v>
      </c>
      <c r="O17" s="192" t="s">
        <v>113</v>
      </c>
      <c r="P17" s="35" t="s">
        <v>134</v>
      </c>
      <c r="Q17" s="191" t="s">
        <v>114</v>
      </c>
      <c r="R17" s="180" t="s">
        <v>139</v>
      </c>
      <c r="S17" s="191" t="s">
        <v>115</v>
      </c>
      <c r="T17" s="35" t="s">
        <v>140</v>
      </c>
      <c r="U17" s="191" t="s">
        <v>116</v>
      </c>
      <c r="V17" s="35" t="s">
        <v>141</v>
      </c>
      <c r="W17" s="192" t="s">
        <v>117</v>
      </c>
      <c r="X17" s="196" t="s">
        <v>142</v>
      </c>
    </row>
    <row r="18" spans="1:24" ht="12.75">
      <c r="A18" s="187" t="s">
        <v>153</v>
      </c>
      <c r="B18" s="37" t="s">
        <v>123</v>
      </c>
      <c r="C18" s="36" t="s">
        <v>151</v>
      </c>
      <c r="D18" s="37" t="s">
        <v>124</v>
      </c>
      <c r="E18" s="36" t="s">
        <v>167</v>
      </c>
      <c r="F18" s="37" t="s">
        <v>125</v>
      </c>
      <c r="G18" s="55" t="s">
        <v>155</v>
      </c>
      <c r="H18" s="37" t="s">
        <v>126</v>
      </c>
      <c r="I18" s="36" t="s">
        <v>160</v>
      </c>
      <c r="J18" s="37" t="s">
        <v>135</v>
      </c>
      <c r="K18" s="36" t="s">
        <v>163</v>
      </c>
      <c r="L18" s="37" t="s">
        <v>136</v>
      </c>
      <c r="M18" s="36" t="s">
        <v>155</v>
      </c>
      <c r="N18" s="37" t="s">
        <v>137</v>
      </c>
      <c r="O18" s="36" t="s">
        <v>175</v>
      </c>
      <c r="P18" s="37" t="s">
        <v>138</v>
      </c>
      <c r="Q18" s="36" t="s">
        <v>178</v>
      </c>
      <c r="R18" s="37" t="s">
        <v>143</v>
      </c>
      <c r="S18" s="36" t="s">
        <v>182</v>
      </c>
      <c r="T18" s="37" t="s">
        <v>144</v>
      </c>
      <c r="U18" s="36" t="s">
        <v>183</v>
      </c>
      <c r="V18" s="37" t="s">
        <v>145</v>
      </c>
      <c r="W18" s="36" t="s">
        <v>150</v>
      </c>
      <c r="X18" s="37" t="s">
        <v>146</v>
      </c>
    </row>
    <row r="19" spans="1:24" ht="12.75">
      <c r="A19" s="186"/>
      <c r="B19" s="32"/>
      <c r="D19" s="32"/>
      <c r="F19" s="32"/>
      <c r="H19" s="32"/>
      <c r="J19" s="32"/>
      <c r="L19" s="32"/>
      <c r="N19" s="32"/>
      <c r="P19" s="32"/>
      <c r="R19" s="32"/>
      <c r="T19" s="32"/>
      <c r="V19" s="32"/>
      <c r="X19" s="32"/>
    </row>
    <row r="20" spans="1:24" ht="12.75">
      <c r="A20" s="190" t="s">
        <v>121</v>
      </c>
      <c r="B20" s="32"/>
      <c r="D20" s="32"/>
      <c r="F20" s="32"/>
      <c r="H20" s="32"/>
      <c r="I20" s="193" t="s">
        <v>121</v>
      </c>
      <c r="J20" s="32"/>
      <c r="L20" s="32"/>
      <c r="N20" s="32"/>
      <c r="P20" s="32"/>
      <c r="Q20" s="193" t="s">
        <v>121</v>
      </c>
      <c r="R20" s="32"/>
      <c r="T20" s="32"/>
      <c r="V20" s="32"/>
      <c r="X20" s="32"/>
    </row>
    <row r="21" spans="1:24" ht="12.75">
      <c r="A21" s="188" t="s">
        <v>106</v>
      </c>
      <c r="B21" s="35" t="s">
        <v>127</v>
      </c>
      <c r="C21" s="191" t="s">
        <v>107</v>
      </c>
      <c r="D21" s="35" t="s">
        <v>128</v>
      </c>
      <c r="E21" s="191" t="s">
        <v>108</v>
      </c>
      <c r="F21" s="35" t="s">
        <v>129</v>
      </c>
      <c r="G21" s="192" t="s">
        <v>109</v>
      </c>
      <c r="H21" s="35" t="s">
        <v>130</v>
      </c>
      <c r="I21" s="191" t="s">
        <v>110</v>
      </c>
      <c r="J21" s="35" t="s">
        <v>131</v>
      </c>
      <c r="K21" s="191" t="s">
        <v>111</v>
      </c>
      <c r="L21" s="35" t="s">
        <v>132</v>
      </c>
      <c r="M21" s="191" t="s">
        <v>112</v>
      </c>
      <c r="N21" s="35" t="s">
        <v>133</v>
      </c>
      <c r="O21" s="192" t="s">
        <v>113</v>
      </c>
      <c r="P21" s="35" t="s">
        <v>134</v>
      </c>
      <c r="Q21" s="191" t="s">
        <v>114</v>
      </c>
      <c r="R21" s="180" t="s">
        <v>139</v>
      </c>
      <c r="S21" s="191" t="s">
        <v>115</v>
      </c>
      <c r="T21" s="35" t="s">
        <v>140</v>
      </c>
      <c r="U21" s="191" t="s">
        <v>116</v>
      </c>
      <c r="V21" s="35" t="s">
        <v>141</v>
      </c>
      <c r="W21" s="192" t="s">
        <v>117</v>
      </c>
      <c r="X21" s="196" t="s">
        <v>142</v>
      </c>
    </row>
    <row r="22" spans="1:24" ht="12.75">
      <c r="A22" s="187" t="s">
        <v>168</v>
      </c>
      <c r="B22" s="37" t="s">
        <v>123</v>
      </c>
      <c r="C22" s="36" t="s">
        <v>158</v>
      </c>
      <c r="D22" s="37" t="s">
        <v>124</v>
      </c>
      <c r="E22" s="36" t="s">
        <v>169</v>
      </c>
      <c r="F22" s="37" t="s">
        <v>125</v>
      </c>
      <c r="G22" s="55" t="s">
        <v>153</v>
      </c>
      <c r="H22" s="37" t="s">
        <v>126</v>
      </c>
      <c r="I22" s="36" t="s">
        <v>164</v>
      </c>
      <c r="J22" s="37" t="s">
        <v>135</v>
      </c>
      <c r="K22" s="36" t="s">
        <v>160</v>
      </c>
      <c r="L22" s="37" t="s">
        <v>136</v>
      </c>
      <c r="M22" s="36" t="s">
        <v>175</v>
      </c>
      <c r="N22" s="37" t="s">
        <v>137</v>
      </c>
      <c r="O22" s="36" t="s">
        <v>162</v>
      </c>
      <c r="P22" s="37" t="s">
        <v>138</v>
      </c>
      <c r="Q22" s="36" t="s">
        <v>149</v>
      </c>
      <c r="R22" s="37" t="s">
        <v>143</v>
      </c>
      <c r="S22" s="36" t="s">
        <v>148</v>
      </c>
      <c r="T22" s="37" t="s">
        <v>144</v>
      </c>
      <c r="U22" s="36" t="s">
        <v>183</v>
      </c>
      <c r="V22" s="37" t="s">
        <v>145</v>
      </c>
      <c r="W22" s="36" t="s">
        <v>186</v>
      </c>
      <c r="X22" s="37" t="s">
        <v>146</v>
      </c>
    </row>
    <row r="23" spans="8:24" ht="12.75">
      <c r="H23" s="32"/>
      <c r="P23" s="32"/>
      <c r="X23" s="32"/>
    </row>
  </sheetData>
  <mergeCells count="5">
    <mergeCell ref="A7:H7"/>
    <mergeCell ref="I7:P7"/>
    <mergeCell ref="Q7:X7"/>
    <mergeCell ref="C2:V2"/>
    <mergeCell ref="C4:V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0" r:id="rId1"/>
  <headerFooter alignWithMargins="0">
    <oddFooter>&amp;C&amp;8&amp;F;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5"/>
  <sheetViews>
    <sheetView zoomScale="75" zoomScaleNormal="75" workbookViewId="0" topLeftCell="A1">
      <selection activeCell="F10" sqref="F10"/>
    </sheetView>
  </sheetViews>
  <sheetFormatPr defaultColWidth="11.421875" defaultRowHeight="12.75"/>
  <cols>
    <col min="1" max="1" width="3.28125" style="2" customWidth="1"/>
    <col min="2" max="2" width="4.28125" style="2" customWidth="1"/>
    <col min="3" max="3" width="20.7109375" style="2" customWidth="1"/>
    <col min="4" max="4" width="2.7109375" style="2" customWidth="1"/>
    <col min="5" max="5" width="4.28125" style="2" customWidth="1"/>
    <col min="6" max="6" width="20.7109375" style="2" customWidth="1"/>
    <col min="7" max="7" width="2.7109375" style="2" customWidth="1"/>
    <col min="8" max="8" width="4.28125" style="2" customWidth="1"/>
    <col min="9" max="9" width="20.7109375" style="2" customWidth="1"/>
    <col min="10" max="10" width="2.7109375" style="2" customWidth="1"/>
    <col min="11" max="11" width="4.28125" style="2" customWidth="1"/>
    <col min="12" max="12" width="20.7109375" style="2" customWidth="1"/>
    <col min="13" max="13" width="4.140625" style="2" customWidth="1"/>
    <col min="14" max="16" width="8.7109375" style="2" customWidth="1"/>
    <col min="17" max="19" width="11.421875" style="2" customWidth="1"/>
    <col min="20" max="20" width="3.421875" style="2" customWidth="1"/>
    <col min="21" max="21" width="2.00390625" style="2" customWidth="1"/>
    <col min="22" max="23" width="3.421875" style="2" customWidth="1"/>
    <col min="24" max="24" width="5.57421875" style="2" customWidth="1"/>
    <col min="25" max="25" width="3.421875" style="2" customWidth="1"/>
    <col min="26" max="26" width="2.00390625" style="2" customWidth="1"/>
    <col min="27" max="28" width="3.421875" style="2" customWidth="1"/>
    <col min="29" max="16384" width="11.421875" style="2" customWidth="1"/>
  </cols>
  <sheetData>
    <row r="1" spans="1:16" ht="15.75">
      <c r="A1" s="21" t="s">
        <v>170</v>
      </c>
      <c r="B1" s="13" t="s">
        <v>95</v>
      </c>
      <c r="C1" s="10"/>
      <c r="D1" s="10"/>
      <c r="E1" s="10"/>
      <c r="F1" s="10"/>
      <c r="G1" s="10"/>
      <c r="H1" s="10"/>
      <c r="I1" s="20">
        <v>2007</v>
      </c>
      <c r="J1" s="10"/>
      <c r="K1" s="10"/>
      <c r="L1" s="10"/>
      <c r="M1" s="10"/>
      <c r="N1" s="10"/>
      <c r="O1" s="10"/>
      <c r="P1" s="10"/>
    </row>
    <row r="2" spans="1:16" ht="15.75">
      <c r="A2" s="13"/>
      <c r="B2" s="13"/>
      <c r="C2" s="10"/>
      <c r="D2" s="10"/>
      <c r="E2" s="10"/>
      <c r="F2" s="10"/>
      <c r="G2" s="10"/>
      <c r="H2" s="10"/>
      <c r="I2" s="26"/>
      <c r="J2" s="10"/>
      <c r="K2" s="10"/>
      <c r="L2" s="10"/>
      <c r="M2" s="10"/>
      <c r="N2" s="10"/>
      <c r="O2" s="10"/>
      <c r="P2" s="10"/>
    </row>
    <row r="3" spans="1:36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U3" s="4"/>
      <c r="Z3" s="4"/>
      <c r="AD3" s="1"/>
      <c r="AE3" s="23"/>
      <c r="AF3" s="1"/>
      <c r="AG3" s="1"/>
      <c r="AH3" s="1"/>
      <c r="AI3" s="1"/>
      <c r="AJ3" s="1"/>
    </row>
    <row r="4" spans="1:36" ht="12.75">
      <c r="A4" s="11"/>
      <c r="B4" s="11"/>
      <c r="C4" s="11" t="s">
        <v>0</v>
      </c>
      <c r="D4" s="11"/>
      <c r="E4" s="11"/>
      <c r="F4" s="11" t="s">
        <v>0</v>
      </c>
      <c r="G4" s="11"/>
      <c r="H4" s="11"/>
      <c r="I4" s="11" t="s">
        <v>1</v>
      </c>
      <c r="J4" s="11"/>
      <c r="K4" s="11"/>
      <c r="L4" s="11" t="s">
        <v>1</v>
      </c>
      <c r="M4" s="10"/>
      <c r="N4" s="10" t="s">
        <v>2</v>
      </c>
      <c r="O4" s="10"/>
      <c r="P4" s="10"/>
      <c r="AD4" s="1"/>
      <c r="AE4" s="1"/>
      <c r="AF4" s="1"/>
      <c r="AG4" s="1"/>
      <c r="AH4" s="1"/>
      <c r="AI4" s="1"/>
      <c r="AJ4" s="1"/>
    </row>
    <row r="5" spans="1:36" ht="12.75">
      <c r="A5" s="11"/>
      <c r="B5" s="11"/>
      <c r="C5" s="11" t="s">
        <v>3</v>
      </c>
      <c r="D5" s="11"/>
      <c r="E5" s="11"/>
      <c r="F5" s="11" t="s">
        <v>4</v>
      </c>
      <c r="G5" s="11"/>
      <c r="H5" s="11"/>
      <c r="I5" s="11" t="s">
        <v>5</v>
      </c>
      <c r="J5" s="11"/>
      <c r="K5" s="11"/>
      <c r="L5" s="11" t="s">
        <v>6</v>
      </c>
      <c r="M5" s="10"/>
      <c r="N5" s="18">
        <v>0.375</v>
      </c>
      <c r="O5" s="10"/>
      <c r="P5" s="22">
        <v>0.375</v>
      </c>
      <c r="AD5" s="1"/>
      <c r="AE5" s="1"/>
      <c r="AF5" s="1"/>
      <c r="AG5" s="1"/>
      <c r="AH5" s="1"/>
      <c r="AI5" s="1"/>
      <c r="AJ5" s="1"/>
    </row>
    <row r="6" spans="1:36" ht="12.75">
      <c r="A6" s="11">
        <v>1</v>
      </c>
      <c r="B6" s="38" t="str">
        <f>IF(Meldeliste!$A$10="",E22,HLOOKUP(E22,Meldeliste!$A$9:$X$10,2,))</f>
        <v>W2</v>
      </c>
      <c r="C6" s="38" t="str">
        <f>IF(Meldeliste!$A$10="",F22,HLOOKUP(F22,Meldeliste!$A$9:$X$10,2,))</f>
        <v>TB Essen-Altendorf</v>
      </c>
      <c r="D6" s="39"/>
      <c r="E6" s="38" t="str">
        <f>IF(Meldeliste!$A$10="",H22,HLOOKUP(H22,Meldeliste!$A$9:$X$10,2,))</f>
        <v>W3</v>
      </c>
      <c r="F6" s="38" t="str">
        <f>IF(Meldeliste!$A$10="",I22,HLOOKUP(I22,Meldeliste!$A$9:$X$10,2,))</f>
        <v>TV Hochneukirch</v>
      </c>
      <c r="G6" s="11"/>
      <c r="H6" s="38" t="str">
        <f>IF(Meldeliste!$A$10="",E22,HLOOKUP(E22,Meldeliste!$A$17:$X$18,2,))</f>
        <v>W2</v>
      </c>
      <c r="I6" s="38" t="str">
        <f>IF(Meldeliste!$A$18="",F22,HLOOKUP(F22,Meldeliste!$A$17:$X$18,2,))</f>
        <v>GW Wuppertal</v>
      </c>
      <c r="J6" s="39"/>
      <c r="K6" s="38" t="str">
        <f>IF(Meldeliste!$A$10="",H22,HLOOKUP(H22,Meldeliste!$A$17:$X$18,2,))</f>
        <v>W3</v>
      </c>
      <c r="L6" s="38" t="str">
        <f>IF(Meldeliste!$A$18="",I22,HLOOKUP(I22,Meldeliste!$A$17:$X$18,2,))</f>
        <v>Linden Dahlhauser TV</v>
      </c>
      <c r="M6" s="10"/>
      <c r="N6" s="16">
        <f aca="true" t="shared" si="0" ref="N6:N30">+N5+O6</f>
        <v>0.3923611111111111</v>
      </c>
      <c r="O6" s="18">
        <v>0.017361111111111112</v>
      </c>
      <c r="P6" s="16">
        <f>+P5+O6</f>
        <v>0.3923611111111111</v>
      </c>
      <c r="AD6" s="1"/>
      <c r="AE6" s="1"/>
      <c r="AF6" s="1"/>
      <c r="AG6" s="1"/>
      <c r="AH6" s="1"/>
      <c r="AI6" s="1"/>
      <c r="AJ6" s="1"/>
    </row>
    <row r="7" spans="1:36" ht="12.75">
      <c r="A7" s="11">
        <v>2</v>
      </c>
      <c r="B7" s="38" t="str">
        <f>IF(Meldeliste!$A$10="",E23,HLOOKUP(E23,Meldeliste!$A$9:$X$10,2,))</f>
        <v>W4</v>
      </c>
      <c r="C7" s="38" t="str">
        <f>IF(Meldeliste!$A$10="",F23,HLOOKUP(F23,Meldeliste!$A$9:$X$10,2,))</f>
        <v>PV Gundernhausen </v>
      </c>
      <c r="D7" s="39"/>
      <c r="E7" s="38" t="str">
        <f>IF(Meldeliste!$A$10="",H23,HLOOKUP(H23,Meldeliste!$A$9:$X$10,2,))</f>
        <v>W1</v>
      </c>
      <c r="F7" s="38" t="str">
        <f>IF(Meldeliste!$A$10="",I23,HLOOKUP(I23,Meldeliste!$A$9:$X$10,2,))</f>
        <v>TV Zeilhard </v>
      </c>
      <c r="G7" s="11"/>
      <c r="H7" s="38" t="str">
        <f>IF(Meldeliste!$A$10="",E23,HLOOKUP(E23,Meldeliste!$A$17:$X$18,2,))</f>
        <v>W4</v>
      </c>
      <c r="I7" s="38" t="str">
        <f>IF(Meldeliste!$A$18="",F23,HLOOKUP(F23,Meldeliste!$A$17:$X$18,2,))</f>
        <v>PV Gundernhausen</v>
      </c>
      <c r="J7" s="11"/>
      <c r="K7" s="38" t="str">
        <f>IF(Meldeliste!$A$10="",H23,HLOOKUP(H23,Meldeliste!$A$17:$X$18,2,))</f>
        <v>W1</v>
      </c>
      <c r="L7" s="38" t="str">
        <f>IF(Meldeliste!$A$18="",I23,HLOOKUP(I23,Meldeliste!$A$17:$X$18,2,))</f>
        <v>TV Zeilhard </v>
      </c>
      <c r="M7" s="10"/>
      <c r="N7" s="16">
        <f t="shared" si="0"/>
        <v>0.4097222222222222</v>
      </c>
      <c r="O7" s="16">
        <f aca="true" t="shared" si="1" ref="O7:O30">+O6</f>
        <v>0.017361111111111112</v>
      </c>
      <c r="P7" s="16">
        <f aca="true" t="shared" si="2" ref="P7:P30">+O7+P6</f>
        <v>0.4097222222222222</v>
      </c>
      <c r="AD7" s="1"/>
      <c r="AE7" s="1"/>
      <c r="AF7" s="1"/>
      <c r="AG7" s="1"/>
      <c r="AH7" s="1"/>
      <c r="AI7" s="1"/>
      <c r="AJ7" s="1"/>
    </row>
    <row r="8" spans="1:36" ht="12.75">
      <c r="A8" s="11">
        <v>3</v>
      </c>
      <c r="B8" s="38" t="str">
        <f>IF(Meldeliste!$A$10="",E24,HLOOKUP(E24,Meldeliste!$A$9:$X$10,2,))</f>
        <v>S3</v>
      </c>
      <c r="C8" s="38" t="str">
        <f>IF(Meldeliste!$A$10="",F24,HLOOKUP(F24,Meldeliste!$A$9:$X$10,2,))</f>
        <v>SV Weiler</v>
      </c>
      <c r="D8" s="39"/>
      <c r="E8" s="38" t="str">
        <f>IF(Meldeliste!$A$10="",H24,HLOOKUP(H24,Meldeliste!$A$9:$X$10,2,))</f>
        <v>N3</v>
      </c>
      <c r="F8" s="38" t="str">
        <f>IF(Meldeliste!$A$10="",I24,HLOOKUP(I24,Meldeliste!$A$9:$X$10,2,))</f>
        <v>Vegesacker TV</v>
      </c>
      <c r="G8" s="11"/>
      <c r="H8" s="38" t="str">
        <f>IF(Meldeliste!$A$10="",E24,HLOOKUP(E24,Meldeliste!$A$17:$X$18,2,))</f>
        <v>S3</v>
      </c>
      <c r="I8" s="38" t="str">
        <f>IF(Meldeliste!$A$18="",F24,HLOOKUP(F24,Meldeliste!$A$17:$X$18,2,))</f>
        <v>TV Mahndorf</v>
      </c>
      <c r="J8" s="11"/>
      <c r="K8" s="38" t="str">
        <f>IF(Meldeliste!$A$10="",H24,HLOOKUP(H24,Meldeliste!$A$17:$X$18,2,))</f>
        <v>N3</v>
      </c>
      <c r="L8" s="38" t="str">
        <f>IF(Meldeliste!$A$18="",I24,HLOOKUP(I24,Meldeliste!$A$17:$X$18,2,))</f>
        <v>TuS Harsefeld</v>
      </c>
      <c r="M8" s="10"/>
      <c r="N8" s="16">
        <f t="shared" si="0"/>
        <v>0.4270833333333333</v>
      </c>
      <c r="O8" s="16">
        <f t="shared" si="1"/>
        <v>0.017361111111111112</v>
      </c>
      <c r="P8" s="16">
        <f t="shared" si="2"/>
        <v>0.4270833333333333</v>
      </c>
      <c r="AD8" s="1"/>
      <c r="AE8" s="1"/>
      <c r="AF8" s="1"/>
      <c r="AG8" s="1"/>
      <c r="AH8" s="1"/>
      <c r="AI8" s="1"/>
      <c r="AJ8" s="1"/>
    </row>
    <row r="9" spans="1:16" ht="12.75">
      <c r="A9" s="11">
        <v>4</v>
      </c>
      <c r="B9" s="38" t="str">
        <f>IF(Meldeliste!$A$10="",E25,HLOOKUP(E25,Meldeliste!$A$9:$X$10,2,))</f>
        <v>S1</v>
      </c>
      <c r="C9" s="38" t="str">
        <f>IF(Meldeliste!$A$10="",F25,HLOOKUP(F25,Meldeliste!$A$9:$X$10,2,))</f>
        <v>TV Freiburg St. Georgen</v>
      </c>
      <c r="D9" s="39"/>
      <c r="E9" s="38" t="str">
        <f>IF(Meldeliste!$A$10="",H25,HLOOKUP(H25,Meldeliste!$A$9:$X$10,2,))</f>
        <v>N2</v>
      </c>
      <c r="F9" s="38" t="s">
        <v>187</v>
      </c>
      <c r="G9" s="11"/>
      <c r="H9" s="38" t="str">
        <f>IF(Meldeliste!$A$10="",E25,HLOOKUP(E25,Meldeliste!$A$17:$X$18,2,))</f>
        <v>S1</v>
      </c>
      <c r="I9" s="38" t="str">
        <f>IF(Meldeliste!$A$18="",F25,HLOOKUP(F25,Meldeliste!$A$17:$X$18,2,))</f>
        <v>VfL Waiblingen</v>
      </c>
      <c r="J9" s="11"/>
      <c r="K9" s="38" t="str">
        <f>IF(Meldeliste!$A$10="",H25,HLOOKUP(H25,Meldeliste!$A$17:$X$18,2,))</f>
        <v>N2</v>
      </c>
      <c r="L9" s="38" t="str">
        <f>IF(Meldeliste!$A$18="",I25,HLOOKUP(I25,Meldeliste!$A$17:$X$18,2,))</f>
        <v>MTV Markoldendorf</v>
      </c>
      <c r="M9" s="10"/>
      <c r="N9" s="16">
        <f t="shared" si="0"/>
        <v>0.4444444444444444</v>
      </c>
      <c r="O9" s="16">
        <f t="shared" si="1"/>
        <v>0.017361111111111112</v>
      </c>
      <c r="P9" s="19">
        <v>0.4583333333333333</v>
      </c>
    </row>
    <row r="10" spans="1:16" ht="12.75">
      <c r="A10" s="11">
        <v>5</v>
      </c>
      <c r="B10" s="38" t="str">
        <f>IF(Meldeliste!$A$10="",E26,HLOOKUP(E26,Meldeliste!$A$9:$X$10,2,))</f>
        <v>N1</v>
      </c>
      <c r="C10" s="38" t="str">
        <f>IF(Meldeliste!$A$10="",F26,HLOOKUP(F26,Meldeliste!$A$9:$X$10,2,))</f>
        <v>TV Sottrum</v>
      </c>
      <c r="D10" s="39"/>
      <c r="E10" s="38" t="str">
        <f>IF(Meldeliste!$A$10="",H26,HLOOKUP(H26,Meldeliste!$A$9:$X$10,2,))</f>
        <v>S2</v>
      </c>
      <c r="F10" s="38" t="str">
        <f>IF(Meldeliste!$A$10="",I26,HLOOKUP(I26,Meldeliste!$A$9:$X$10,2,))</f>
        <v>VfL Waiblingen</v>
      </c>
      <c r="G10" s="11"/>
      <c r="H10" s="38" t="str">
        <f>IF(Meldeliste!$A$10="",E26,HLOOKUP(E26,Meldeliste!$A$17:$X$18,2,))</f>
        <v>N1</v>
      </c>
      <c r="I10" s="38" t="str">
        <f>IF(Meldeliste!$A$18="",F26,HLOOKUP(F26,Meldeliste!$A$17:$X$18,2,))</f>
        <v>Vegesacker TV</v>
      </c>
      <c r="J10" s="11"/>
      <c r="K10" s="38" t="str">
        <f>IF(Meldeliste!$A$10="",H26,HLOOKUP(H26,Meldeliste!$A$17:$X$18,2,))</f>
        <v>S2</v>
      </c>
      <c r="L10" s="38" t="str">
        <f>IF(Meldeliste!$A$18="",I26,HLOOKUP(I26,Meldeliste!$A$17:$X$18,2,))</f>
        <v>TSV Ludwigshafen</v>
      </c>
      <c r="M10" s="10"/>
      <c r="N10" s="16">
        <f t="shared" si="0"/>
        <v>0.4618055555555555</v>
      </c>
      <c r="O10" s="16">
        <f t="shared" si="1"/>
        <v>0.017361111111111112</v>
      </c>
      <c r="P10" s="16">
        <f t="shared" si="2"/>
        <v>0.4756944444444444</v>
      </c>
    </row>
    <row r="11" spans="1:16" ht="12.75">
      <c r="A11" s="11"/>
      <c r="B11" s="11"/>
      <c r="C11" s="14"/>
      <c r="D11" s="11"/>
      <c r="E11" s="11"/>
      <c r="F11" s="12"/>
      <c r="G11" s="11"/>
      <c r="H11" s="11"/>
      <c r="I11" s="15"/>
      <c r="J11" s="11"/>
      <c r="K11" s="11"/>
      <c r="L11" s="11"/>
      <c r="M11" s="10"/>
      <c r="N11" s="16">
        <f t="shared" si="0"/>
        <v>0.47916666666666663</v>
      </c>
      <c r="O11" s="16">
        <f t="shared" si="1"/>
        <v>0.017361111111111112</v>
      </c>
      <c r="P11" s="16">
        <f t="shared" si="2"/>
        <v>0.4930555555555555</v>
      </c>
    </row>
    <row r="12" spans="1:16" ht="12.75">
      <c r="A12" s="11"/>
      <c r="B12" s="11"/>
      <c r="C12" s="14" t="s">
        <v>8</v>
      </c>
      <c r="D12" s="11"/>
      <c r="E12" s="11"/>
      <c r="F12" s="11" t="s">
        <v>8</v>
      </c>
      <c r="G12" s="11"/>
      <c r="H12" s="11"/>
      <c r="I12" s="14" t="s">
        <v>9</v>
      </c>
      <c r="J12" s="11"/>
      <c r="K12" s="11"/>
      <c r="L12" s="11" t="s">
        <v>9</v>
      </c>
      <c r="M12" s="10"/>
      <c r="N12" s="16">
        <f t="shared" si="0"/>
        <v>0.49652777777777773</v>
      </c>
      <c r="O12" s="16">
        <f t="shared" si="1"/>
        <v>0.017361111111111112</v>
      </c>
      <c r="P12" s="16">
        <f t="shared" si="2"/>
        <v>0.5104166666666666</v>
      </c>
    </row>
    <row r="13" spans="1:16" ht="12.75">
      <c r="A13" s="11"/>
      <c r="B13" s="11"/>
      <c r="C13" s="14" t="s">
        <v>10</v>
      </c>
      <c r="D13" s="11"/>
      <c r="E13" s="11"/>
      <c r="F13" s="11" t="s">
        <v>11</v>
      </c>
      <c r="G13" s="11"/>
      <c r="H13" s="11"/>
      <c r="I13" s="15" t="s">
        <v>12</v>
      </c>
      <c r="J13" s="11"/>
      <c r="K13" s="11"/>
      <c r="L13" s="11" t="s">
        <v>13</v>
      </c>
      <c r="M13" s="10"/>
      <c r="N13" s="16">
        <f t="shared" si="0"/>
        <v>0.5138888888888888</v>
      </c>
      <c r="O13" s="16">
        <f t="shared" si="1"/>
        <v>0.017361111111111112</v>
      </c>
      <c r="P13" s="16">
        <f t="shared" si="2"/>
        <v>0.5277777777777778</v>
      </c>
    </row>
    <row r="14" spans="1:16" ht="12.75">
      <c r="A14" s="11">
        <v>1</v>
      </c>
      <c r="B14" s="38" t="str">
        <f>IF(Meldeliste!$A$10="",E22,HLOOKUP(E22,Meldeliste!$A$13:$X$14,2,))</f>
        <v>W2</v>
      </c>
      <c r="C14" s="38" t="str">
        <f>IF(Meldeliste!$A$14="",F22,HLOOKUP(F22,Meldeliste!$A$13:$X$14,2,))</f>
        <v>TV Hochneukirch</v>
      </c>
      <c r="D14" s="39"/>
      <c r="E14" s="38" t="str">
        <f>IF(Meldeliste!$A$10="",H22,HLOOKUP(H22,Meldeliste!$A$13:$X$14,2,))</f>
        <v>W3</v>
      </c>
      <c r="F14" s="38" t="str">
        <f>IF(Meldeliste!$A$14="",I22,HLOOKUP(I22,Meldeliste!$A$13:$X$14,2,))</f>
        <v>TV Berkenbaum </v>
      </c>
      <c r="G14" s="11"/>
      <c r="H14" s="38" t="str">
        <f>IF(Meldeliste!$A$10="",E22,HLOOKUP(E22,Meldeliste!$A$21:$X$22,2,))</f>
        <v>W2</v>
      </c>
      <c r="I14" s="38" t="str">
        <f>IF(Meldeliste!$A$22="",F22,HLOOKUP(F22,Meldeliste!$A$21:$X$22,2,))</f>
        <v>TV Zeilhard</v>
      </c>
      <c r="J14" s="39"/>
      <c r="K14" s="38" t="str">
        <f>IF(Meldeliste!$A$10="",H22,HLOOKUP(H22,Meldeliste!$A$21:$X$22,2,))</f>
        <v>W3</v>
      </c>
      <c r="L14" s="38" t="str">
        <f>IF(Meldeliste!$A$22="",I22,HLOOKUP(I22,Meldeliste!$A$21:$X$22,2,))</f>
        <v>Linden Dahlhauser TV</v>
      </c>
      <c r="M14" s="10"/>
      <c r="N14" s="16">
        <f t="shared" si="0"/>
        <v>0.53125</v>
      </c>
      <c r="O14" s="16">
        <f t="shared" si="1"/>
        <v>0.017361111111111112</v>
      </c>
      <c r="P14" s="16">
        <f t="shared" si="2"/>
        <v>0.545138888888889</v>
      </c>
    </row>
    <row r="15" spans="1:16" ht="12.75">
      <c r="A15" s="11">
        <v>2</v>
      </c>
      <c r="B15" s="38" t="str">
        <f>IF(Meldeliste!$A$10="",E23,HLOOKUP(E23,Meldeliste!$A$13:$X$14,2,))</f>
        <v>W4</v>
      </c>
      <c r="C15" s="38" t="str">
        <f>IF(Meldeliste!$A$14="",F23,HLOOKUP(F23,Meldeliste!$A$13:$X$14,2,))</f>
        <v>TV Zeilhard</v>
      </c>
      <c r="D15" s="11"/>
      <c r="E15" s="38" t="str">
        <f>IF(Meldeliste!$A$10="",H23,HLOOKUP(H23,Meldeliste!$A$13:$X$14,2,))</f>
        <v>W1</v>
      </c>
      <c r="F15" s="38" t="str">
        <f>IF(Meldeliste!$A$14="",I23,HLOOKUP(I23,Meldeliste!$A$13:$X$14,2,))</f>
        <v>TV Hemer </v>
      </c>
      <c r="G15" s="11"/>
      <c r="H15" s="38" t="str">
        <f>IF(Meldeliste!$A$10="",E23,HLOOKUP(E23,Meldeliste!$A$21:$X$22,2,))</f>
        <v>W4</v>
      </c>
      <c r="I15" s="38" t="str">
        <f>IF(Meldeliste!$A$22="",F23,HLOOKUP(F23,Meldeliste!$A$21:$X$22,2,))</f>
        <v>TV Kierdorf</v>
      </c>
      <c r="J15" s="11"/>
      <c r="K15" s="38" t="str">
        <f>IF(Meldeliste!$A$10="",H23,HLOOKUP(H23,Meldeliste!$A$21:$X$22,2,))</f>
        <v>W1</v>
      </c>
      <c r="L15" s="38" t="str">
        <f>IF(Meldeliste!$A$22="",I23,HLOOKUP(I23,Meldeliste!$A$21:$X$22,2,))</f>
        <v>TV Berkenbaum</v>
      </c>
      <c r="M15" s="10"/>
      <c r="N15" s="19">
        <v>0.5833333333333334</v>
      </c>
      <c r="O15" s="16">
        <f t="shared" si="1"/>
        <v>0.017361111111111112</v>
      </c>
      <c r="P15" s="16">
        <f t="shared" si="2"/>
        <v>0.5625000000000001</v>
      </c>
    </row>
    <row r="16" spans="1:16" ht="12.75">
      <c r="A16" s="11">
        <v>3</v>
      </c>
      <c r="B16" s="38" t="str">
        <f>IF(Meldeliste!$A$10="",E24,HLOOKUP(E24,Meldeliste!$A$13:$X$14,2,))</f>
        <v>S3</v>
      </c>
      <c r="C16" s="38" t="str">
        <f>IF(Meldeliste!$A$14="",F24,HLOOKUP(F24,Meldeliste!$A$13:$X$14,2,))</f>
        <v>TSV Babenhausen</v>
      </c>
      <c r="D16" s="11"/>
      <c r="E16" s="38" t="str">
        <f>IF(Meldeliste!$A$10="",H24,HLOOKUP(H24,Meldeliste!$A$13:$X$14,2,))</f>
        <v>N3</v>
      </c>
      <c r="F16" s="38" t="str">
        <f>IF(Meldeliste!$A$14="",I24,HLOOKUP(I24,Meldeliste!$A$13:$X$14,2,))</f>
        <v>MTV Markoldendorf</v>
      </c>
      <c r="G16" s="11"/>
      <c r="H16" s="38" t="str">
        <f>IF(Meldeliste!$A$10="",E24,HLOOKUP(E24,Meldeliste!$A$21:$X$22,2,))</f>
        <v>S3</v>
      </c>
      <c r="I16" s="38" t="str">
        <f>IF(Meldeliste!$A$22="",F24,HLOOKUP(F24,Meldeliste!$A$21:$X$22,2,))</f>
        <v>SV Weiler</v>
      </c>
      <c r="J16" s="11"/>
      <c r="K16" s="38" t="str">
        <f>IF(Meldeliste!$A$10="",H24,HLOOKUP(H24,Meldeliste!$A$21:$X$22,2,))</f>
        <v>N3</v>
      </c>
      <c r="L16" s="38" t="str">
        <f>IF(Meldeliste!$A$22="",I24,HLOOKUP(I24,Meldeliste!$A$21:$X$22,2,))</f>
        <v>TSV Burgdorf</v>
      </c>
      <c r="M16" s="10"/>
      <c r="N16" s="16">
        <f t="shared" si="0"/>
        <v>0.6006944444444445</v>
      </c>
      <c r="O16" s="16">
        <f t="shared" si="1"/>
        <v>0.017361111111111112</v>
      </c>
      <c r="P16" s="16">
        <f t="shared" si="2"/>
        <v>0.5798611111111113</v>
      </c>
    </row>
    <row r="17" spans="1:16" ht="12.75">
      <c r="A17" s="11">
        <v>4</v>
      </c>
      <c r="B17" s="38" t="str">
        <f>IF(Meldeliste!$A$10="",E25,HLOOKUP(E25,Meldeliste!$A$13:$X$14,2,))</f>
        <v>S1</v>
      </c>
      <c r="C17" s="38" t="str">
        <f>IF(Meldeliste!$A$14="",F25,HLOOKUP(F25,Meldeliste!$A$13:$X$14,2,))</f>
        <v>TV Freiburg St. Georgen</v>
      </c>
      <c r="D17" s="11"/>
      <c r="E17" s="38" t="str">
        <f>IF(Meldeliste!$A$10="",H25,HLOOKUP(H25,Meldeliste!$A$13:$X$14,2,))</f>
        <v>N2</v>
      </c>
      <c r="F17" s="38" t="str">
        <f>IF(Meldeliste!$A$14="",I25,HLOOKUP(I25,Meldeliste!$A$13:$X$14,2,))</f>
        <v>TSV Marienfelde</v>
      </c>
      <c r="G17" s="11"/>
      <c r="H17" s="38" t="str">
        <f>IF(Meldeliste!$A$10="",E25,HLOOKUP(E25,Meldeliste!$A$21:$X$22,2,))</f>
        <v>S1</v>
      </c>
      <c r="I17" s="38" t="str">
        <f>IF(Meldeliste!$A$22="",F25,HLOOKUP(F25,Meldeliste!$A$21:$X$22,2,))</f>
        <v>TV Huchenfeld</v>
      </c>
      <c r="J17" s="11"/>
      <c r="K17" s="38" t="str">
        <f>IF(Meldeliste!$A$10="",H25,HLOOKUP(H25,Meldeliste!$A$21:$X$22,2,))</f>
        <v>N2</v>
      </c>
      <c r="L17" s="38" t="str">
        <f>IF(Meldeliste!$A$22="",I25,HLOOKUP(I25,Meldeliste!$A$21:$X$22,2,))</f>
        <v>MTV Jahn Schladen</v>
      </c>
      <c r="M17" s="10"/>
      <c r="N17" s="16">
        <f t="shared" si="0"/>
        <v>0.6180555555555557</v>
      </c>
      <c r="O17" s="16">
        <f t="shared" si="1"/>
        <v>0.017361111111111112</v>
      </c>
      <c r="P17" s="16">
        <f t="shared" si="2"/>
        <v>0.5972222222222224</v>
      </c>
    </row>
    <row r="18" spans="1:16" ht="12.75">
      <c r="A18" s="11">
        <v>5</v>
      </c>
      <c r="B18" s="38" t="str">
        <f>IF(Meldeliste!$A$10="",E26,HLOOKUP(E26,Meldeliste!$A$13:$X$14,2,))</f>
        <v>N1</v>
      </c>
      <c r="C18" s="38" t="str">
        <f>IF(Meldeliste!$A$14="",F26,HLOOKUP(F26,Meldeliste!$A$13:$X$14,2,))</f>
        <v>Vegesacker TV</v>
      </c>
      <c r="D18" s="11"/>
      <c r="E18" s="38" t="str">
        <f>IF(Meldeliste!$A$10="",H26,HLOOKUP(H26,Meldeliste!$A$13:$X$14,2,))</f>
        <v>S2</v>
      </c>
      <c r="F18" s="38" t="str">
        <f>IF(Meldeliste!$A$14="",I26,HLOOKUP(I26,Meldeliste!$A$13:$X$14,2,))</f>
        <v>VfL Waiblingen</v>
      </c>
      <c r="G18" s="11"/>
      <c r="H18" s="38" t="str">
        <f>IF(Meldeliste!$A$10="",E26,HLOOKUP(E26,Meldeliste!$A$21:$X$22,2,))</f>
        <v>N1</v>
      </c>
      <c r="I18" s="38" t="str">
        <f>IF(Meldeliste!$A$22="",F26,HLOOKUP(F26,Meldeliste!$A$21:$X$22,2,))</f>
        <v>TuS Aschen-Strang</v>
      </c>
      <c r="J18" s="11"/>
      <c r="K18" s="38" t="str">
        <f>IF(Meldeliste!$A$10="",H26,HLOOKUP(H26,Meldeliste!$A$21:$X$22,2,))</f>
        <v>S2</v>
      </c>
      <c r="L18" s="38" t="str">
        <f>IF(Meldeliste!$A$22="",I26,HLOOKUP(I26,Meldeliste!$A$21:$X$22,2,))</f>
        <v>VfL Waiblingen</v>
      </c>
      <c r="M18" s="10"/>
      <c r="N18" s="16">
        <f t="shared" si="0"/>
        <v>0.6354166666666669</v>
      </c>
      <c r="O18" s="16">
        <f t="shared" si="1"/>
        <v>0.017361111111111112</v>
      </c>
      <c r="P18" s="16">
        <f t="shared" si="2"/>
        <v>0.6145833333333336</v>
      </c>
    </row>
    <row r="19" spans="1:16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6">
        <f t="shared" si="0"/>
        <v>0.652777777777778</v>
      </c>
      <c r="O19" s="16">
        <f t="shared" si="1"/>
        <v>0.017361111111111112</v>
      </c>
      <c r="P19" s="16">
        <f t="shared" si="2"/>
        <v>0.6319444444444448</v>
      </c>
    </row>
    <row r="20" spans="1:16" ht="12.75">
      <c r="A20" s="11"/>
      <c r="B20" s="11"/>
      <c r="C20" s="11"/>
      <c r="D20" s="11"/>
      <c r="E20" s="11"/>
      <c r="F20" s="206" t="s">
        <v>14</v>
      </c>
      <c r="G20" s="206"/>
      <c r="H20" s="206"/>
      <c r="I20" s="206"/>
      <c r="J20" s="11"/>
      <c r="K20" s="11"/>
      <c r="L20" s="11"/>
      <c r="M20" s="10"/>
      <c r="N20" s="16">
        <f t="shared" si="0"/>
        <v>0.6701388888888892</v>
      </c>
      <c r="O20" s="16">
        <f t="shared" si="1"/>
        <v>0.017361111111111112</v>
      </c>
      <c r="P20" s="16">
        <f t="shared" si="2"/>
        <v>0.6493055555555559</v>
      </c>
    </row>
    <row r="21" spans="1:16" ht="12.75">
      <c r="A21" s="11"/>
      <c r="B21" s="11"/>
      <c r="C21" s="11"/>
      <c r="D21" s="11"/>
      <c r="E21" s="11"/>
      <c r="F21" s="206"/>
      <c r="G21" s="206"/>
      <c r="H21" s="206"/>
      <c r="I21" s="206"/>
      <c r="J21" s="17"/>
      <c r="K21" s="17"/>
      <c r="L21" s="17"/>
      <c r="M21" s="10"/>
      <c r="N21" s="16">
        <f t="shared" si="0"/>
        <v>0.6875000000000003</v>
      </c>
      <c r="O21" s="16">
        <f t="shared" si="1"/>
        <v>0.017361111111111112</v>
      </c>
      <c r="P21" s="16">
        <f t="shared" si="2"/>
        <v>0.6666666666666671</v>
      </c>
    </row>
    <row r="22" spans="1:16" ht="12.75">
      <c r="A22" s="11"/>
      <c r="B22" s="11"/>
      <c r="C22" s="12"/>
      <c r="D22" s="11"/>
      <c r="E22" s="195" t="str">
        <f>MID(F22,1,4)</f>
        <v>2. W</v>
      </c>
      <c r="F22" s="6" t="s">
        <v>115</v>
      </c>
      <c r="G22" s="11"/>
      <c r="H22" s="195" t="str">
        <f>MID(I22,1,4)</f>
        <v>3. W</v>
      </c>
      <c r="I22" s="5" t="s">
        <v>116</v>
      </c>
      <c r="J22" s="11"/>
      <c r="K22" s="11"/>
      <c r="L22" s="27"/>
      <c r="M22" s="10"/>
      <c r="N22" s="16">
        <f t="shared" si="0"/>
        <v>0.7048611111111115</v>
      </c>
      <c r="O22" s="16">
        <f t="shared" si="1"/>
        <v>0.017361111111111112</v>
      </c>
      <c r="P22" s="16">
        <f t="shared" si="2"/>
        <v>0.6840277777777782</v>
      </c>
    </row>
    <row r="23" spans="1:16" ht="12.75">
      <c r="A23" s="11"/>
      <c r="B23" s="11"/>
      <c r="C23" s="12"/>
      <c r="D23" s="11"/>
      <c r="E23" s="195" t="str">
        <f>MID(F23,1,4)</f>
        <v>4. W</v>
      </c>
      <c r="F23" s="6" t="s">
        <v>117</v>
      </c>
      <c r="G23" s="11"/>
      <c r="H23" s="195" t="str">
        <f>MID(I23,1,4)</f>
        <v>1. W</v>
      </c>
      <c r="I23" s="5" t="s">
        <v>114</v>
      </c>
      <c r="J23" s="11"/>
      <c r="K23" s="11"/>
      <c r="L23" s="27"/>
      <c r="M23" s="10"/>
      <c r="N23" s="16">
        <f t="shared" si="0"/>
        <v>0.7222222222222227</v>
      </c>
      <c r="O23" s="16">
        <f t="shared" si="1"/>
        <v>0.017361111111111112</v>
      </c>
      <c r="P23" s="16">
        <f t="shared" si="2"/>
        <v>0.7013888888888894</v>
      </c>
    </row>
    <row r="24" spans="1:16" ht="12.75">
      <c r="A24" s="11"/>
      <c r="B24" s="11"/>
      <c r="C24" s="12"/>
      <c r="D24" s="11"/>
      <c r="E24" s="195" t="str">
        <f>MID(F24,1,4)</f>
        <v>3. S</v>
      </c>
      <c r="F24" s="6" t="s">
        <v>112</v>
      </c>
      <c r="G24" s="11"/>
      <c r="H24" s="195" t="str">
        <f>MID(I24,1,4)</f>
        <v>3. N</v>
      </c>
      <c r="I24" s="5" t="s">
        <v>108</v>
      </c>
      <c r="J24" s="11"/>
      <c r="K24" s="11"/>
      <c r="L24" s="27"/>
      <c r="M24" s="10"/>
      <c r="N24" s="16">
        <f t="shared" si="0"/>
        <v>0.7395833333333338</v>
      </c>
      <c r="O24" s="16">
        <f t="shared" si="1"/>
        <v>0.017361111111111112</v>
      </c>
      <c r="P24" s="16">
        <f t="shared" si="2"/>
        <v>0.7187500000000006</v>
      </c>
    </row>
    <row r="25" spans="1:16" ht="12.75">
      <c r="A25" s="11"/>
      <c r="B25" s="11"/>
      <c r="C25" s="12"/>
      <c r="D25" s="11"/>
      <c r="E25" s="195" t="str">
        <f>MID(F25,1,4)</f>
        <v>1. S</v>
      </c>
      <c r="F25" s="6" t="s">
        <v>110</v>
      </c>
      <c r="G25" s="11"/>
      <c r="H25" s="195" t="str">
        <f>MID(I25,1,4)</f>
        <v>2. N</v>
      </c>
      <c r="I25" s="5" t="s">
        <v>107</v>
      </c>
      <c r="J25" s="11"/>
      <c r="K25" s="11"/>
      <c r="L25" s="27"/>
      <c r="M25" s="10"/>
      <c r="N25" s="16">
        <f t="shared" si="0"/>
        <v>0.756944444444445</v>
      </c>
      <c r="O25" s="16">
        <f t="shared" si="1"/>
        <v>0.017361111111111112</v>
      </c>
      <c r="P25" s="16">
        <f t="shared" si="2"/>
        <v>0.7361111111111117</v>
      </c>
    </row>
    <row r="26" spans="1:16" ht="12.75">
      <c r="A26" s="11"/>
      <c r="B26" s="11"/>
      <c r="C26" s="12"/>
      <c r="D26" s="11"/>
      <c r="E26" s="195" t="str">
        <f>MID(F26,1,4)</f>
        <v>1. N</v>
      </c>
      <c r="F26" s="6" t="s">
        <v>106</v>
      </c>
      <c r="G26" s="11"/>
      <c r="H26" s="195" t="str">
        <f>MID(I26,1,4)</f>
        <v>2. S</v>
      </c>
      <c r="I26" s="5" t="s">
        <v>111</v>
      </c>
      <c r="J26" s="11"/>
      <c r="K26" s="11"/>
      <c r="L26" s="27"/>
      <c r="M26" s="10"/>
      <c r="N26" s="16">
        <f t="shared" si="0"/>
        <v>0.7743055555555561</v>
      </c>
      <c r="O26" s="16">
        <f t="shared" si="1"/>
        <v>0.017361111111111112</v>
      </c>
      <c r="P26" s="16">
        <f t="shared" si="2"/>
        <v>0.7534722222222229</v>
      </c>
    </row>
    <row r="27" spans="1:16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0"/>
      <c r="N27" s="16">
        <f t="shared" si="0"/>
        <v>0.7916666666666673</v>
      </c>
      <c r="O27" s="16">
        <f t="shared" si="1"/>
        <v>0.017361111111111112</v>
      </c>
      <c r="P27" s="16">
        <f t="shared" si="2"/>
        <v>0.770833333333334</v>
      </c>
    </row>
    <row r="28" spans="1:16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/>
      <c r="N28" s="16">
        <f t="shared" si="0"/>
        <v>0.8090277777777785</v>
      </c>
      <c r="O28" s="16">
        <f t="shared" si="1"/>
        <v>0.017361111111111112</v>
      </c>
      <c r="P28" s="16">
        <f t="shared" si="2"/>
        <v>0.7881944444444452</v>
      </c>
    </row>
    <row r="29" spans="1:16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"/>
      <c r="N29" s="16">
        <f t="shared" si="0"/>
        <v>0.8263888888888896</v>
      </c>
      <c r="O29" s="16">
        <f t="shared" si="1"/>
        <v>0.017361111111111112</v>
      </c>
      <c r="P29" s="16">
        <f t="shared" si="2"/>
        <v>0.8055555555555564</v>
      </c>
    </row>
    <row r="30" spans="1:16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6">
        <f t="shared" si="0"/>
        <v>0.8437500000000008</v>
      </c>
      <c r="O30" s="16">
        <f t="shared" si="1"/>
        <v>0.017361111111111112</v>
      </c>
      <c r="P30" s="16">
        <f t="shared" si="2"/>
        <v>0.8229166666666675</v>
      </c>
    </row>
    <row r="31" spans="1:1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0"/>
      <c r="B32" s="10"/>
      <c r="C32" s="10"/>
      <c r="D32" s="10"/>
      <c r="E32" s="10"/>
      <c r="F32" s="10" t="s">
        <v>15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7" t="s">
        <v>171</v>
      </c>
      <c r="B35" s="7"/>
      <c r="C35" s="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2.75">
      <c r="A36" s="8" t="s">
        <v>172</v>
      </c>
      <c r="B36" s="7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9" t="s">
        <v>173</v>
      </c>
      <c r="B37" s="7"/>
      <c r="C37" s="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7" t="s">
        <v>150</v>
      </c>
      <c r="B38" s="7"/>
      <c r="C38" s="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</sheetData>
  <mergeCells count="1">
    <mergeCell ref="F20:I21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&amp;C&amp;A</oddHeader>
    <oddFooter>&amp;CSeite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3"/>
  <sheetViews>
    <sheetView workbookViewId="0" topLeftCell="A80">
      <selection activeCell="S135" sqref="S135"/>
    </sheetView>
  </sheetViews>
  <sheetFormatPr defaultColWidth="11.421875" defaultRowHeight="12.75" outlineLevelRow="1" outlineLevelCol="1"/>
  <cols>
    <col min="1" max="1" width="3.00390625" style="28" customWidth="1" outlineLevel="1"/>
    <col min="2" max="2" width="3.7109375" style="28" customWidth="1"/>
    <col min="3" max="3" width="4.8515625" style="28" customWidth="1"/>
    <col min="4" max="4" width="3.28125" style="28" customWidth="1"/>
    <col min="5" max="5" width="4.140625" style="28" customWidth="1"/>
    <col min="6" max="6" width="3.140625" style="28" customWidth="1"/>
    <col min="7" max="7" width="2.7109375" style="28" customWidth="1" outlineLevel="1"/>
    <col min="8" max="8" width="16.7109375" style="28" customWidth="1"/>
    <col min="9" max="9" width="1.421875" style="28" customWidth="1"/>
    <col min="10" max="10" width="3.140625" style="28" customWidth="1"/>
    <col min="11" max="11" width="2.7109375" style="28" customWidth="1" outlineLevel="1"/>
    <col min="12" max="12" width="16.7109375" style="28" customWidth="1"/>
    <col min="13" max="13" width="3.140625" style="28" customWidth="1"/>
    <col min="14" max="14" width="2.7109375" style="28" customWidth="1" outlineLevel="1"/>
    <col min="15" max="15" width="16.7109375" style="28" customWidth="1"/>
    <col min="16" max="16" width="4.8515625" style="28" customWidth="1" outlineLevel="1"/>
    <col min="17" max="17" width="2.7109375" style="28" customWidth="1" outlineLevel="1"/>
    <col min="18" max="18" width="1.421875" style="28" customWidth="1" outlineLevel="1"/>
    <col min="19" max="20" width="2.7109375" style="28" customWidth="1" outlineLevel="1"/>
    <col min="21" max="21" width="1.421875" style="28" customWidth="1" outlineLevel="1"/>
    <col min="22" max="22" width="2.7109375" style="28" customWidth="1" outlineLevel="1"/>
    <col min="23" max="23" width="0.71875" style="28" customWidth="1"/>
    <col min="24" max="25" width="8.28125" style="28" hidden="1" customWidth="1" outlineLevel="1"/>
    <col min="26" max="26" width="1.8515625" style="36" customWidth="1" collapsed="1"/>
    <col min="27" max="27" width="5.57421875" style="28" bestFit="1" customWidth="1"/>
    <col min="28" max="28" width="6.8515625" style="28" bestFit="1" customWidth="1"/>
    <col min="29" max="29" width="3.00390625" style="28" bestFit="1" customWidth="1"/>
    <col min="30" max="16384" width="11.421875" style="28" customWidth="1"/>
  </cols>
  <sheetData>
    <row r="1" spans="2:26" s="30" customFormat="1" ht="18.75" customHeight="1">
      <c r="B1" s="61" t="str">
        <f>+Daten!A1&amp;" "&amp;Daten!B1&amp;" "&amp;Daten!I1</f>
        <v>44. Deutsche Prellball Meisterschaften der Jugend 2007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2:4" ht="15.75" customHeight="1">
      <c r="B2" s="178"/>
      <c r="C2" s="178" t="str">
        <f>+Daten!A36</f>
        <v>05.05.2007</v>
      </c>
      <c r="D2" s="177"/>
    </row>
    <row r="3" spans="1:25" ht="12.75" hidden="1" outlineLevel="1">
      <c r="A3" s="36"/>
      <c r="B3" s="36" t="str">
        <f>+Daten!C4</f>
        <v>weibl. Jugend 11-14</v>
      </c>
      <c r="C3" s="36"/>
      <c r="D3" s="36"/>
      <c r="E3" s="36"/>
      <c r="F3" s="36"/>
      <c r="G3" s="36"/>
      <c r="H3" s="36" t="str">
        <f>+Daten!C12</f>
        <v>weibl. Jugend 15-18</v>
      </c>
      <c r="I3" s="36"/>
      <c r="J3" s="36"/>
      <c r="K3" s="36"/>
      <c r="L3" s="36" t="str">
        <f>+Daten!I4</f>
        <v>männl. Jugend 11-14</v>
      </c>
      <c r="M3" s="36"/>
      <c r="N3" s="36"/>
      <c r="O3" s="36" t="str">
        <f>+Daten!I12</f>
        <v>männl. Jugend 15-18</v>
      </c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2.75" hidden="1" outlineLevel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4.5" customHeight="1" hidden="1" outlineLevel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2.75" hidden="1" outlineLevel="1">
      <c r="A6" s="36"/>
      <c r="B6" s="36" t="s">
        <v>16</v>
      </c>
      <c r="C6" s="36"/>
      <c r="D6" s="36"/>
      <c r="E6" s="36"/>
      <c r="F6" s="36"/>
      <c r="G6" s="36"/>
      <c r="H6" s="36" t="s">
        <v>18</v>
      </c>
      <c r="I6" s="36"/>
      <c r="J6" s="36"/>
      <c r="K6" s="36"/>
      <c r="L6" s="36" t="s">
        <v>17</v>
      </c>
      <c r="M6" s="36"/>
      <c r="N6" s="36"/>
      <c r="O6" s="36" t="s">
        <v>19</v>
      </c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2.75" hidden="1" outlineLevel="1">
      <c r="A7" s="36">
        <v>1</v>
      </c>
      <c r="B7" s="36" t="str">
        <f>IF(Daten!C6="","",Daten!C6)</f>
        <v>TB Essen-Altendorf</v>
      </c>
      <c r="C7" s="36"/>
      <c r="D7" s="36"/>
      <c r="E7" s="36"/>
      <c r="F7" s="36"/>
      <c r="G7" s="36"/>
      <c r="H7" s="36" t="str">
        <f>IF(Daten!C14="","",Daten!C14)</f>
        <v>TV Hochneukirch</v>
      </c>
      <c r="I7" s="36"/>
      <c r="J7" s="36"/>
      <c r="K7" s="36"/>
      <c r="L7" s="36" t="str">
        <f>IF(Daten!I6="","",Daten!I6)</f>
        <v>GW Wuppertal</v>
      </c>
      <c r="M7" s="36"/>
      <c r="N7" s="36"/>
      <c r="O7" s="36" t="str">
        <f>IF(Daten!I14="","",Daten!I14)</f>
        <v>TV Zeilhard</v>
      </c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2.75" hidden="1" outlineLevel="1">
      <c r="A8" s="36">
        <v>2</v>
      </c>
      <c r="B8" s="36" t="str">
        <f>IF(Daten!C7="","",Daten!C7)</f>
        <v>PV Gundernhausen </v>
      </c>
      <c r="C8" s="36"/>
      <c r="D8" s="36"/>
      <c r="E8" s="36"/>
      <c r="F8" s="36"/>
      <c r="G8" s="36"/>
      <c r="H8" s="36" t="str">
        <f>IF(Daten!C15="","",Daten!C15)</f>
        <v>TV Zeilhard</v>
      </c>
      <c r="I8" s="36"/>
      <c r="J8" s="36"/>
      <c r="K8" s="36"/>
      <c r="L8" s="36" t="str">
        <f>IF(Daten!I7="","",Daten!I7)</f>
        <v>PV Gundernhausen</v>
      </c>
      <c r="M8" s="36"/>
      <c r="N8" s="36"/>
      <c r="O8" s="36" t="str">
        <f>IF(Daten!I15="","",Daten!I15)</f>
        <v>TV Kierdorf</v>
      </c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2.75" hidden="1" outlineLevel="1">
      <c r="A9" s="36">
        <v>3</v>
      </c>
      <c r="B9" s="36" t="str">
        <f>IF(Daten!C8="","",Daten!C8)</f>
        <v>SV Weiler</v>
      </c>
      <c r="C9" s="36"/>
      <c r="D9" s="36"/>
      <c r="E9" s="36"/>
      <c r="F9" s="36"/>
      <c r="G9" s="36"/>
      <c r="H9" s="36" t="str">
        <f>IF(Daten!C16="","",Daten!C16)</f>
        <v>TSV Babenhausen</v>
      </c>
      <c r="I9" s="36"/>
      <c r="J9" s="36"/>
      <c r="K9" s="36"/>
      <c r="L9" s="36" t="str">
        <f>IF(Daten!I8="","",Daten!I8)</f>
        <v>TV Mahndorf</v>
      </c>
      <c r="M9" s="36"/>
      <c r="N9" s="36"/>
      <c r="O9" s="36" t="str">
        <f>IF(Daten!I16="","",Daten!I16)</f>
        <v>SV Weiler</v>
      </c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2.75" hidden="1" outlineLevel="1">
      <c r="A10" s="36">
        <v>4</v>
      </c>
      <c r="B10" s="36" t="str">
        <f>IF(Daten!C9="","",Daten!C9)</f>
        <v>TV Freiburg St. Georgen</v>
      </c>
      <c r="C10" s="36"/>
      <c r="D10" s="36"/>
      <c r="E10" s="36"/>
      <c r="F10" s="36"/>
      <c r="G10" s="36"/>
      <c r="H10" s="36" t="str">
        <f>IF(Daten!C17="","",Daten!C17)</f>
        <v>TV Freiburg St. Georgen</v>
      </c>
      <c r="I10" s="36"/>
      <c r="J10" s="36"/>
      <c r="K10" s="36"/>
      <c r="L10" s="36" t="str">
        <f>IF(Daten!I9="","",Daten!I9)</f>
        <v>VfL Waiblingen</v>
      </c>
      <c r="M10" s="36"/>
      <c r="N10" s="36"/>
      <c r="O10" s="36" t="str">
        <f>IF(Daten!I17="","",Daten!I17)</f>
        <v>TV Huchenfeld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2.75" hidden="1" outlineLevel="1">
      <c r="A11" s="36">
        <v>5</v>
      </c>
      <c r="B11" s="36" t="str">
        <f>IF(Daten!C10="","",Daten!C10)</f>
        <v>TV Sottrum</v>
      </c>
      <c r="C11" s="36"/>
      <c r="D11" s="36"/>
      <c r="E11" s="36"/>
      <c r="F11" s="36"/>
      <c r="G11" s="36"/>
      <c r="H11" s="36" t="str">
        <f>IF(Daten!C18="","",Daten!C18)</f>
        <v>Vegesacker TV</v>
      </c>
      <c r="I11" s="36"/>
      <c r="J11" s="36"/>
      <c r="K11" s="36"/>
      <c r="L11" s="36" t="str">
        <f>IF(Daten!I10="","",Daten!I10)</f>
        <v>Vegesacker TV</v>
      </c>
      <c r="M11" s="36"/>
      <c r="N11" s="36"/>
      <c r="O11" s="36" t="str">
        <f>IF(Daten!I18="","",Daten!I18)</f>
        <v>TuS Aschen-Strang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2.75" hidden="1" outlineLevel="1">
      <c r="A12" s="36">
        <v>11</v>
      </c>
      <c r="B12" s="36" t="str">
        <f>IF(Daten!F6="","",Daten!F6)</f>
        <v>TV Hochneukirch</v>
      </c>
      <c r="C12" s="36"/>
      <c r="D12" s="36"/>
      <c r="E12" s="36"/>
      <c r="F12" s="36"/>
      <c r="G12" s="36"/>
      <c r="H12" s="36" t="str">
        <f>IF(Daten!F14="","",Daten!F14)</f>
        <v>TV Berkenbaum </v>
      </c>
      <c r="I12" s="36"/>
      <c r="J12" s="36"/>
      <c r="K12" s="36"/>
      <c r="L12" s="36" t="str">
        <f>IF(Daten!L6="","",Daten!L6)</f>
        <v>Linden Dahlhauser TV</v>
      </c>
      <c r="M12" s="36"/>
      <c r="N12" s="36"/>
      <c r="O12" s="36" t="str">
        <f>IF(Daten!L14="","",Daten!L14)</f>
        <v>Linden Dahlhauser TV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2.75" hidden="1" outlineLevel="1">
      <c r="A13" s="36">
        <v>12</v>
      </c>
      <c r="B13" s="36" t="str">
        <f>IF(Daten!F7="","",Daten!F7)</f>
        <v>TV Zeilhard </v>
      </c>
      <c r="C13" s="36"/>
      <c r="D13" s="36"/>
      <c r="E13" s="36"/>
      <c r="F13" s="36"/>
      <c r="G13" s="36"/>
      <c r="H13" s="36" t="str">
        <f>IF(Daten!F15="","",Daten!F15)</f>
        <v>TV Hemer </v>
      </c>
      <c r="I13" s="36"/>
      <c r="J13" s="36"/>
      <c r="K13" s="36"/>
      <c r="L13" s="36" t="str">
        <f>IF(Daten!L7="","",Daten!L7)</f>
        <v>TV Zeilhard </v>
      </c>
      <c r="M13" s="36"/>
      <c r="N13" s="36"/>
      <c r="O13" s="36" t="str">
        <f>IF(Daten!L15="","",Daten!L15)</f>
        <v>TV Berkenbaum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2.75" hidden="1" outlineLevel="1">
      <c r="A14" s="36">
        <v>13</v>
      </c>
      <c r="B14" s="36" t="str">
        <f>IF(Daten!F8="","",Daten!F8)</f>
        <v>Vegesacker TV</v>
      </c>
      <c r="C14" s="36"/>
      <c r="D14" s="36"/>
      <c r="E14" s="36"/>
      <c r="F14" s="36"/>
      <c r="G14" s="36"/>
      <c r="H14" s="36" t="str">
        <f>IF(Daten!F16="","",Daten!F16)</f>
        <v>MTV Markoldendorf</v>
      </c>
      <c r="I14" s="36"/>
      <c r="J14" s="36"/>
      <c r="K14" s="36"/>
      <c r="L14" s="36" t="str">
        <f>IF(Daten!L8="","",Daten!L8)</f>
        <v>TuS Harsefeld</v>
      </c>
      <c r="M14" s="36"/>
      <c r="N14" s="36"/>
      <c r="O14" s="36" t="str">
        <f>IF(Daten!L16="","",Daten!L16)</f>
        <v>TSV Burgdorf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2.75" hidden="1" outlineLevel="1">
      <c r="A15" s="36">
        <v>14</v>
      </c>
      <c r="B15" s="36" t="str">
        <f>IF(Daten!F9="","",Daten!F9)</f>
        <v>BTV Charlottenburg</v>
      </c>
      <c r="C15" s="36"/>
      <c r="D15" s="36"/>
      <c r="E15" s="36"/>
      <c r="F15" s="36"/>
      <c r="G15" s="36"/>
      <c r="H15" s="36" t="str">
        <f>IF(Daten!F17="","",Daten!F17)</f>
        <v>TSV Marienfelde</v>
      </c>
      <c r="I15" s="36"/>
      <c r="J15" s="36"/>
      <c r="K15" s="36"/>
      <c r="L15" s="36" t="str">
        <f>IF(Daten!L9="","",Daten!L9)</f>
        <v>MTV Markoldendorf</v>
      </c>
      <c r="M15" s="36"/>
      <c r="N15" s="36"/>
      <c r="O15" s="36" t="str">
        <f>IF(Daten!L17="","",Daten!L17)</f>
        <v>MTV Jahn Schladen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2.75" hidden="1" outlineLevel="1">
      <c r="A16" s="36">
        <v>15</v>
      </c>
      <c r="B16" s="36" t="str">
        <f>IF(Daten!F10="","",Daten!F10)</f>
        <v>VfL Waiblingen</v>
      </c>
      <c r="C16" s="36"/>
      <c r="D16" s="36"/>
      <c r="E16" s="36"/>
      <c r="F16" s="36"/>
      <c r="G16" s="36"/>
      <c r="H16" s="36" t="str">
        <f>IF(Daten!F18="","",Daten!F18)</f>
        <v>VfL Waiblingen</v>
      </c>
      <c r="I16" s="36"/>
      <c r="J16" s="36"/>
      <c r="K16" s="36"/>
      <c r="L16" s="36" t="str">
        <f>IF(Daten!L10="","",Daten!L10)</f>
        <v>TSV Ludwigshafen</v>
      </c>
      <c r="M16" s="36"/>
      <c r="N16" s="36"/>
      <c r="O16" s="36" t="str">
        <f>IF(Daten!L18="","",Daten!L18)</f>
        <v>VfL Waiblingen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="36" customFormat="1" ht="11.25" hidden="1" outlineLevel="1"/>
    <row r="18" s="36" customFormat="1" ht="11.25" hidden="1" outlineLevel="1"/>
    <row r="19" s="36" customFormat="1" ht="11.25" hidden="1" outlineLevel="1"/>
    <row r="20" spans="1:15" ht="12.75" hidden="1" outlineLevel="1">
      <c r="A20" s="36"/>
      <c r="B20" s="36"/>
      <c r="H20" s="36"/>
      <c r="I20" s="36"/>
      <c r="J20" s="36"/>
      <c r="K20" s="36"/>
      <c r="L20" s="36"/>
      <c r="M20" s="36"/>
      <c r="N20" s="36"/>
      <c r="O20" s="36"/>
    </row>
    <row r="21" ht="4.5" customHeight="1" hidden="1" outlineLevel="1"/>
    <row r="22" spans="2:25" s="60" customFormat="1" ht="12.75" customHeight="1" collapsed="1" thickBot="1">
      <c r="B22" s="62" t="s">
        <v>36</v>
      </c>
      <c r="C22" s="62" t="s">
        <v>2</v>
      </c>
      <c r="D22" s="62" t="s">
        <v>37</v>
      </c>
      <c r="E22" s="62" t="s">
        <v>38</v>
      </c>
      <c r="F22" s="62"/>
      <c r="G22" s="62"/>
      <c r="H22" s="62" t="s">
        <v>39</v>
      </c>
      <c r="I22" s="62"/>
      <c r="J22" s="62"/>
      <c r="K22" s="62"/>
      <c r="L22" s="62" t="s">
        <v>39</v>
      </c>
      <c r="M22" s="62"/>
      <c r="N22" s="62"/>
      <c r="O22" s="62" t="s">
        <v>40</v>
      </c>
      <c r="P22" s="62" t="s">
        <v>41</v>
      </c>
      <c r="Q22" s="62"/>
      <c r="R22" s="62" t="s">
        <v>42</v>
      </c>
      <c r="S22" s="62"/>
      <c r="T22" s="62"/>
      <c r="U22" s="62" t="s">
        <v>43</v>
      </c>
      <c r="V22" s="62"/>
      <c r="X22" s="62" t="s">
        <v>42</v>
      </c>
      <c r="Y22" s="62" t="s">
        <v>43</v>
      </c>
    </row>
    <row r="23" spans="2:29" s="36" customFormat="1" ht="12.75" customHeight="1" thickTop="1">
      <c r="B23" s="36">
        <v>1</v>
      </c>
      <c r="C23" s="41">
        <f>+Daten!N5</f>
        <v>0.375</v>
      </c>
      <c r="D23" s="36">
        <v>1</v>
      </c>
      <c r="E23" s="36">
        <v>1</v>
      </c>
      <c r="F23" s="42" t="s">
        <v>16</v>
      </c>
      <c r="G23" s="36">
        <v>1</v>
      </c>
      <c r="H23" s="43" t="str">
        <f ca="1" t="shared" si="0" ref="H23:H65">INDIRECT(ADDRESS(MATCH(G23,$A$1:$A$20,0),MATCH(F23,$A$6:$AE$6,0)))</f>
        <v>TB Essen-Altendorf</v>
      </c>
      <c r="I23" s="44" t="s">
        <v>24</v>
      </c>
      <c r="J23" s="42" t="s">
        <v>16</v>
      </c>
      <c r="K23" s="36">
        <v>2</v>
      </c>
      <c r="L23" s="43" t="str">
        <f ca="1" t="shared" si="1" ref="L23:L65">INDIRECT(ADDRESS(MATCH(K23,$A$1:$A$20,0),MATCH(J23,$A$6:$AE$6,0)))</f>
        <v>PV Gundernhausen </v>
      </c>
      <c r="M23" s="42" t="s">
        <v>16</v>
      </c>
      <c r="N23" s="36">
        <v>3</v>
      </c>
      <c r="O23" s="43" t="str">
        <f ca="1" t="shared" si="2" ref="O23:O62">INDIRECT(ADDRESS(MATCH(N23,$A$1:$A$20,0),MATCH(M23,$A$6:$AE$6,0)))</f>
        <v>SV Weiler</v>
      </c>
      <c r="P23" s="45"/>
      <c r="Q23" s="36">
        <v>43</v>
      </c>
      <c r="R23" s="44" t="s">
        <v>23</v>
      </c>
      <c r="S23" s="36">
        <v>22</v>
      </c>
      <c r="T23" s="46">
        <f aca="true" t="shared" si="3" ref="T23:T54">IF(Q23="","",IF(Q23&gt;S23,2,IF(Q23&lt;S23,0,1)))</f>
        <v>2</v>
      </c>
      <c r="U23" s="44" t="s">
        <v>23</v>
      </c>
      <c r="V23" s="47">
        <f aca="true" t="shared" si="4" ref="V23:V54">IF(S23="","",IF(S23&gt;Q23,2,IF(S23&lt;Q23,0,1)))</f>
        <v>0</v>
      </c>
      <c r="X23" s="44" t="s">
        <v>44</v>
      </c>
      <c r="Y23" s="44" t="s">
        <v>44</v>
      </c>
      <c r="AA23" s="36" t="s">
        <v>7</v>
      </c>
      <c r="AB23" s="36" t="s">
        <v>20</v>
      </c>
      <c r="AC23" s="36">
        <v>1</v>
      </c>
    </row>
    <row r="24" spans="4:29" s="36" customFormat="1" ht="12.75" customHeight="1">
      <c r="D24" s="36">
        <f aca="true" t="shared" si="5" ref="D24:D62">+D23+1</f>
        <v>2</v>
      </c>
      <c r="E24" s="36">
        <v>2</v>
      </c>
      <c r="F24" s="42" t="s">
        <v>16</v>
      </c>
      <c r="G24" s="36">
        <v>11</v>
      </c>
      <c r="H24" s="43" t="str">
        <f ca="1" t="shared" si="0"/>
        <v>TV Hochneukirch</v>
      </c>
      <c r="I24" s="44" t="s">
        <v>24</v>
      </c>
      <c r="J24" s="42" t="s">
        <v>16</v>
      </c>
      <c r="K24" s="36">
        <v>12</v>
      </c>
      <c r="L24" s="43" t="str">
        <f ca="1" t="shared" si="1"/>
        <v>TV Zeilhard </v>
      </c>
      <c r="M24" s="42" t="s">
        <v>16</v>
      </c>
      <c r="N24" s="36">
        <v>13</v>
      </c>
      <c r="O24" s="43" t="str">
        <f ca="1" t="shared" si="2"/>
        <v>Vegesacker TV</v>
      </c>
      <c r="P24" s="45"/>
      <c r="Q24" s="36">
        <v>24</v>
      </c>
      <c r="R24" s="44" t="s">
        <v>23</v>
      </c>
      <c r="S24" s="36">
        <v>45</v>
      </c>
      <c r="T24" s="46">
        <f t="shared" si="3"/>
        <v>0</v>
      </c>
      <c r="U24" s="44" t="s">
        <v>23</v>
      </c>
      <c r="V24" s="47">
        <f t="shared" si="4"/>
        <v>2</v>
      </c>
      <c r="X24" s="44" t="s">
        <v>44</v>
      </c>
      <c r="Y24" s="44" t="s">
        <v>44</v>
      </c>
      <c r="AA24" s="36" t="s">
        <v>7</v>
      </c>
      <c r="AB24" s="36" t="s">
        <v>20</v>
      </c>
      <c r="AC24" s="36">
        <v>1</v>
      </c>
    </row>
    <row r="25" spans="4:29" s="36" customFormat="1" ht="12.75" customHeight="1">
      <c r="D25" s="36">
        <f t="shared" si="5"/>
        <v>3</v>
      </c>
      <c r="E25" s="36">
        <v>3</v>
      </c>
      <c r="F25" s="42" t="s">
        <v>17</v>
      </c>
      <c r="G25" s="36">
        <v>1</v>
      </c>
      <c r="H25" s="43" t="str">
        <f ca="1" t="shared" si="0"/>
        <v>GW Wuppertal</v>
      </c>
      <c r="I25" s="44" t="s">
        <v>24</v>
      </c>
      <c r="J25" s="42" t="s">
        <v>17</v>
      </c>
      <c r="K25" s="36">
        <v>2</v>
      </c>
      <c r="L25" s="43" t="str">
        <f ca="1" t="shared" si="1"/>
        <v>PV Gundernhausen</v>
      </c>
      <c r="M25" s="42" t="s">
        <v>17</v>
      </c>
      <c r="N25" s="36">
        <v>3</v>
      </c>
      <c r="O25" s="43" t="str">
        <f ca="1" t="shared" si="2"/>
        <v>TV Mahndorf</v>
      </c>
      <c r="P25" s="45"/>
      <c r="Q25" s="36">
        <v>36</v>
      </c>
      <c r="R25" s="44" t="s">
        <v>23</v>
      </c>
      <c r="S25" s="36">
        <v>39</v>
      </c>
      <c r="T25" s="46">
        <f t="shared" si="3"/>
        <v>0</v>
      </c>
      <c r="U25" s="44" t="s">
        <v>23</v>
      </c>
      <c r="V25" s="47">
        <f t="shared" si="4"/>
        <v>2</v>
      </c>
      <c r="X25" s="44" t="s">
        <v>44</v>
      </c>
      <c r="Y25" s="44" t="s">
        <v>44</v>
      </c>
      <c r="AA25" s="36" t="s">
        <v>7</v>
      </c>
      <c r="AB25" s="36" t="s">
        <v>20</v>
      </c>
      <c r="AC25" s="36">
        <v>2</v>
      </c>
    </row>
    <row r="26" spans="2:29" s="36" customFormat="1" ht="12.75" customHeight="1">
      <c r="B26" s="48"/>
      <c r="C26" s="48"/>
      <c r="D26" s="48">
        <f t="shared" si="5"/>
        <v>4</v>
      </c>
      <c r="E26" s="48">
        <v>4</v>
      </c>
      <c r="F26" s="49" t="s">
        <v>17</v>
      </c>
      <c r="G26" s="48">
        <v>11</v>
      </c>
      <c r="H26" s="50" t="str">
        <f ca="1" t="shared" si="0"/>
        <v>Linden Dahlhauser TV</v>
      </c>
      <c r="I26" s="51" t="s">
        <v>24</v>
      </c>
      <c r="J26" s="49" t="s">
        <v>17</v>
      </c>
      <c r="K26" s="48">
        <v>12</v>
      </c>
      <c r="L26" s="50" t="str">
        <f ca="1" t="shared" si="1"/>
        <v>TV Zeilhard </v>
      </c>
      <c r="M26" s="49" t="s">
        <v>17</v>
      </c>
      <c r="N26" s="48">
        <v>13</v>
      </c>
      <c r="O26" s="50" t="str">
        <f ca="1" t="shared" si="2"/>
        <v>TuS Harsefeld</v>
      </c>
      <c r="P26" s="52"/>
      <c r="Q26" s="48">
        <v>43</v>
      </c>
      <c r="R26" s="51" t="s">
        <v>23</v>
      </c>
      <c r="S26" s="48">
        <v>37</v>
      </c>
      <c r="T26" s="53">
        <f t="shared" si="3"/>
        <v>2</v>
      </c>
      <c r="U26" s="51" t="s">
        <v>23</v>
      </c>
      <c r="V26" s="54">
        <f t="shared" si="4"/>
        <v>0</v>
      </c>
      <c r="X26" s="51" t="s">
        <v>44</v>
      </c>
      <c r="Y26" s="51" t="s">
        <v>44</v>
      </c>
      <c r="AA26" s="36" t="s">
        <v>7</v>
      </c>
      <c r="AB26" s="36" t="s">
        <v>20</v>
      </c>
      <c r="AC26" s="36">
        <v>2</v>
      </c>
    </row>
    <row r="27" spans="2:29" ht="12.75">
      <c r="B27" s="36">
        <f>+B23+1</f>
        <v>2</v>
      </c>
      <c r="C27" s="41">
        <f>+Daten!N6</f>
        <v>0.3923611111111111</v>
      </c>
      <c r="D27" s="36">
        <f t="shared" si="5"/>
        <v>5</v>
      </c>
      <c r="E27" s="36">
        <v>1</v>
      </c>
      <c r="F27" s="42" t="s">
        <v>16</v>
      </c>
      <c r="G27" s="36">
        <v>3</v>
      </c>
      <c r="H27" s="43" t="str">
        <f ca="1" t="shared" si="0"/>
        <v>SV Weiler</v>
      </c>
      <c r="I27" s="44" t="s">
        <v>24</v>
      </c>
      <c r="J27" s="42" t="s">
        <v>16</v>
      </c>
      <c r="K27" s="36">
        <v>4</v>
      </c>
      <c r="L27" s="43" t="str">
        <f ca="1" t="shared" si="1"/>
        <v>TV Freiburg St. Georgen</v>
      </c>
      <c r="M27" s="42" t="s">
        <v>16</v>
      </c>
      <c r="N27" s="36">
        <v>5</v>
      </c>
      <c r="O27" s="43" t="str">
        <f ca="1" t="shared" si="2"/>
        <v>TV Sottrum</v>
      </c>
      <c r="P27" s="45"/>
      <c r="Q27" s="36">
        <v>31</v>
      </c>
      <c r="R27" s="44" t="s">
        <v>23</v>
      </c>
      <c r="S27" s="36">
        <v>39</v>
      </c>
      <c r="T27" s="46">
        <f t="shared" si="3"/>
        <v>0</v>
      </c>
      <c r="U27" s="44" t="s">
        <v>23</v>
      </c>
      <c r="V27" s="47">
        <f t="shared" si="4"/>
        <v>2</v>
      </c>
      <c r="X27" s="44" t="s">
        <v>44</v>
      </c>
      <c r="Y27" s="44" t="s">
        <v>44</v>
      </c>
      <c r="AA27" s="36" t="s">
        <v>7</v>
      </c>
      <c r="AB27" s="36" t="s">
        <v>20</v>
      </c>
      <c r="AC27" s="28">
        <v>3</v>
      </c>
    </row>
    <row r="28" spans="2:29" ht="12.75">
      <c r="B28" s="36"/>
      <c r="C28" s="36"/>
      <c r="D28" s="36">
        <f t="shared" si="5"/>
        <v>6</v>
      </c>
      <c r="E28" s="36">
        <v>2</v>
      </c>
      <c r="F28" s="42" t="s">
        <v>16</v>
      </c>
      <c r="G28" s="36">
        <v>13</v>
      </c>
      <c r="H28" s="43" t="str">
        <f ca="1" t="shared" si="0"/>
        <v>Vegesacker TV</v>
      </c>
      <c r="I28" s="44" t="s">
        <v>24</v>
      </c>
      <c r="J28" s="42" t="s">
        <v>16</v>
      </c>
      <c r="K28" s="36">
        <v>14</v>
      </c>
      <c r="L28" s="43" t="str">
        <f ca="1" t="shared" si="1"/>
        <v>BTV Charlottenburg</v>
      </c>
      <c r="M28" s="42" t="s">
        <v>16</v>
      </c>
      <c r="N28" s="36">
        <v>15</v>
      </c>
      <c r="O28" s="43" t="str">
        <f ca="1" t="shared" si="2"/>
        <v>VfL Waiblingen</v>
      </c>
      <c r="P28" s="45"/>
      <c r="Q28" s="36">
        <v>35</v>
      </c>
      <c r="R28" s="44" t="s">
        <v>23</v>
      </c>
      <c r="S28" s="36">
        <v>27</v>
      </c>
      <c r="T28" s="46">
        <f t="shared" si="3"/>
        <v>2</v>
      </c>
      <c r="U28" s="44" t="s">
        <v>23</v>
      </c>
      <c r="V28" s="47">
        <f t="shared" si="4"/>
        <v>0</v>
      </c>
      <c r="X28" s="44" t="s">
        <v>44</v>
      </c>
      <c r="Y28" s="44" t="s">
        <v>44</v>
      </c>
      <c r="AA28" s="36" t="s">
        <v>7</v>
      </c>
      <c r="AB28" s="36" t="s">
        <v>20</v>
      </c>
      <c r="AC28" s="28">
        <v>3</v>
      </c>
    </row>
    <row r="29" spans="2:29" ht="12.75">
      <c r="B29" s="36"/>
      <c r="C29" s="36"/>
      <c r="D29" s="36">
        <f t="shared" si="5"/>
        <v>7</v>
      </c>
      <c r="E29" s="36">
        <v>3</v>
      </c>
      <c r="F29" s="42" t="s">
        <v>17</v>
      </c>
      <c r="G29" s="36">
        <v>3</v>
      </c>
      <c r="H29" s="43" t="str">
        <f ca="1" t="shared" si="0"/>
        <v>TV Mahndorf</v>
      </c>
      <c r="I29" s="44" t="s">
        <v>24</v>
      </c>
      <c r="J29" s="42" t="s">
        <v>17</v>
      </c>
      <c r="K29" s="36">
        <v>4</v>
      </c>
      <c r="L29" s="43" t="str">
        <f ca="1" t="shared" si="1"/>
        <v>VfL Waiblingen</v>
      </c>
      <c r="M29" s="42" t="s">
        <v>17</v>
      </c>
      <c r="N29" s="36">
        <v>5</v>
      </c>
      <c r="O29" s="43" t="str">
        <f ca="1" t="shared" si="2"/>
        <v>Vegesacker TV</v>
      </c>
      <c r="P29" s="45"/>
      <c r="Q29" s="36">
        <v>31</v>
      </c>
      <c r="R29" s="44" t="s">
        <v>23</v>
      </c>
      <c r="S29" s="36">
        <v>43</v>
      </c>
      <c r="T29" s="46">
        <f t="shared" si="3"/>
        <v>0</v>
      </c>
      <c r="U29" s="44" t="s">
        <v>23</v>
      </c>
      <c r="V29" s="47">
        <f t="shared" si="4"/>
        <v>2</v>
      </c>
      <c r="X29" s="44" t="s">
        <v>44</v>
      </c>
      <c r="Y29" s="44" t="s">
        <v>44</v>
      </c>
      <c r="AA29" s="36" t="s">
        <v>7</v>
      </c>
      <c r="AB29" s="36" t="s">
        <v>20</v>
      </c>
      <c r="AC29" s="28">
        <v>4</v>
      </c>
    </row>
    <row r="30" spans="2:29" ht="12.75">
      <c r="B30" s="48"/>
      <c r="C30" s="48"/>
      <c r="D30" s="48">
        <f t="shared" si="5"/>
        <v>8</v>
      </c>
      <c r="E30" s="48">
        <v>4</v>
      </c>
      <c r="F30" s="49" t="s">
        <v>17</v>
      </c>
      <c r="G30" s="48">
        <v>13</v>
      </c>
      <c r="H30" s="50" t="str">
        <f ca="1" t="shared" si="0"/>
        <v>TuS Harsefeld</v>
      </c>
      <c r="I30" s="51" t="s">
        <v>24</v>
      </c>
      <c r="J30" s="49" t="s">
        <v>17</v>
      </c>
      <c r="K30" s="48">
        <v>14</v>
      </c>
      <c r="L30" s="50" t="str">
        <f ca="1" t="shared" si="1"/>
        <v>MTV Markoldendorf</v>
      </c>
      <c r="M30" s="49" t="s">
        <v>17</v>
      </c>
      <c r="N30" s="48">
        <v>15</v>
      </c>
      <c r="O30" s="50" t="str">
        <f ca="1" t="shared" si="2"/>
        <v>TSV Ludwigshafen</v>
      </c>
      <c r="P30" s="52"/>
      <c r="Q30" s="48">
        <v>32</v>
      </c>
      <c r="R30" s="51" t="s">
        <v>23</v>
      </c>
      <c r="S30" s="48">
        <v>40</v>
      </c>
      <c r="T30" s="53">
        <f t="shared" si="3"/>
        <v>0</v>
      </c>
      <c r="U30" s="51" t="s">
        <v>23</v>
      </c>
      <c r="V30" s="54">
        <f t="shared" si="4"/>
        <v>2</v>
      </c>
      <c r="X30" s="51" t="s">
        <v>44</v>
      </c>
      <c r="Y30" s="51" t="s">
        <v>44</v>
      </c>
      <c r="AA30" s="36" t="s">
        <v>7</v>
      </c>
      <c r="AB30" s="36" t="s">
        <v>20</v>
      </c>
      <c r="AC30" s="28">
        <v>4</v>
      </c>
    </row>
    <row r="31" spans="2:29" ht="12.75" customHeight="1">
      <c r="B31" s="36">
        <f>+B27+1</f>
        <v>3</v>
      </c>
      <c r="C31" s="41">
        <f>+Daten!N7</f>
        <v>0.4097222222222222</v>
      </c>
      <c r="D31" s="36">
        <f t="shared" si="5"/>
        <v>9</v>
      </c>
      <c r="E31" s="36">
        <v>1</v>
      </c>
      <c r="F31" s="42" t="s">
        <v>16</v>
      </c>
      <c r="G31" s="36">
        <v>2</v>
      </c>
      <c r="H31" s="43" t="str">
        <f ca="1" t="shared" si="0"/>
        <v>PV Gundernhausen </v>
      </c>
      <c r="I31" s="44" t="s">
        <v>24</v>
      </c>
      <c r="J31" s="42" t="s">
        <v>16</v>
      </c>
      <c r="K31" s="36">
        <v>5</v>
      </c>
      <c r="L31" s="43" t="str">
        <f ca="1" t="shared" si="1"/>
        <v>TV Sottrum</v>
      </c>
      <c r="M31" s="42" t="s">
        <v>16</v>
      </c>
      <c r="N31" s="36">
        <v>1</v>
      </c>
      <c r="O31" s="43" t="str">
        <f ca="1" t="shared" si="2"/>
        <v>TB Essen-Altendorf</v>
      </c>
      <c r="P31" s="45"/>
      <c r="Q31" s="36">
        <v>27</v>
      </c>
      <c r="R31" s="44" t="s">
        <v>23</v>
      </c>
      <c r="S31" s="36">
        <v>35</v>
      </c>
      <c r="T31" s="46">
        <f t="shared" si="3"/>
        <v>0</v>
      </c>
      <c r="U31" s="44" t="s">
        <v>23</v>
      </c>
      <c r="V31" s="47">
        <f t="shared" si="4"/>
        <v>2</v>
      </c>
      <c r="X31" s="44" t="s">
        <v>44</v>
      </c>
      <c r="Y31" s="44" t="s">
        <v>44</v>
      </c>
      <c r="AA31" s="36" t="s">
        <v>7</v>
      </c>
      <c r="AB31" s="36" t="s">
        <v>20</v>
      </c>
      <c r="AC31" s="28">
        <v>5</v>
      </c>
    </row>
    <row r="32" spans="2:29" ht="12.75">
      <c r="B32" s="36"/>
      <c r="C32" s="36"/>
      <c r="D32" s="36">
        <f t="shared" si="5"/>
        <v>10</v>
      </c>
      <c r="E32" s="36">
        <v>2</v>
      </c>
      <c r="F32" s="42" t="s">
        <v>16</v>
      </c>
      <c r="G32" s="36">
        <v>11</v>
      </c>
      <c r="H32" s="43" t="str">
        <f ca="1" t="shared" si="0"/>
        <v>TV Hochneukirch</v>
      </c>
      <c r="I32" s="44" t="s">
        <v>24</v>
      </c>
      <c r="J32" s="42" t="s">
        <v>16</v>
      </c>
      <c r="K32" s="36">
        <v>15</v>
      </c>
      <c r="L32" s="43" t="str">
        <f ca="1" t="shared" si="1"/>
        <v>VfL Waiblingen</v>
      </c>
      <c r="M32" s="42" t="s">
        <v>16</v>
      </c>
      <c r="N32" s="36">
        <v>12</v>
      </c>
      <c r="O32" s="43" t="str">
        <f ca="1" t="shared" si="2"/>
        <v>TV Zeilhard </v>
      </c>
      <c r="P32" s="45"/>
      <c r="Q32" s="36">
        <v>39</v>
      </c>
      <c r="R32" s="44" t="s">
        <v>23</v>
      </c>
      <c r="S32" s="36">
        <v>29</v>
      </c>
      <c r="T32" s="46">
        <f t="shared" si="3"/>
        <v>2</v>
      </c>
      <c r="U32" s="44" t="s">
        <v>23</v>
      </c>
      <c r="V32" s="47">
        <f t="shared" si="4"/>
        <v>0</v>
      </c>
      <c r="X32" s="44" t="s">
        <v>44</v>
      </c>
      <c r="Y32" s="44" t="s">
        <v>44</v>
      </c>
      <c r="AA32" s="36" t="s">
        <v>7</v>
      </c>
      <c r="AB32" s="36" t="s">
        <v>20</v>
      </c>
      <c r="AC32" s="28">
        <v>5</v>
      </c>
    </row>
    <row r="33" spans="2:29" ht="12.75">
      <c r="B33" s="36"/>
      <c r="C33" s="36"/>
      <c r="D33" s="36">
        <f t="shared" si="5"/>
        <v>11</v>
      </c>
      <c r="E33" s="36">
        <v>3</v>
      </c>
      <c r="F33" s="42" t="s">
        <v>17</v>
      </c>
      <c r="G33" s="36">
        <v>2</v>
      </c>
      <c r="H33" s="43" t="str">
        <f ca="1" t="shared" si="0"/>
        <v>PV Gundernhausen</v>
      </c>
      <c r="I33" s="44" t="s">
        <v>24</v>
      </c>
      <c r="J33" s="42" t="s">
        <v>17</v>
      </c>
      <c r="K33" s="36">
        <v>5</v>
      </c>
      <c r="L33" s="43" t="str">
        <f ca="1" t="shared" si="1"/>
        <v>Vegesacker TV</v>
      </c>
      <c r="M33" s="42" t="s">
        <v>17</v>
      </c>
      <c r="N33" s="36">
        <v>1</v>
      </c>
      <c r="O33" s="43" t="str">
        <f ca="1" t="shared" si="2"/>
        <v>GW Wuppertal</v>
      </c>
      <c r="P33" s="45"/>
      <c r="Q33" s="36">
        <v>44</v>
      </c>
      <c r="R33" s="44" t="s">
        <v>23</v>
      </c>
      <c r="S33" s="36">
        <v>45</v>
      </c>
      <c r="T33" s="46">
        <f t="shared" si="3"/>
        <v>0</v>
      </c>
      <c r="U33" s="44" t="s">
        <v>23</v>
      </c>
      <c r="V33" s="47">
        <f t="shared" si="4"/>
        <v>2</v>
      </c>
      <c r="X33" s="44" t="s">
        <v>44</v>
      </c>
      <c r="Y33" s="44" t="s">
        <v>44</v>
      </c>
      <c r="AA33" s="36" t="s">
        <v>7</v>
      </c>
      <c r="AB33" s="36" t="s">
        <v>20</v>
      </c>
      <c r="AC33" s="28">
        <v>6</v>
      </c>
    </row>
    <row r="34" spans="2:29" ht="12.75">
      <c r="B34" s="48"/>
      <c r="C34" s="48"/>
      <c r="D34" s="48">
        <f t="shared" si="5"/>
        <v>12</v>
      </c>
      <c r="E34" s="48">
        <v>4</v>
      </c>
      <c r="F34" s="49" t="s">
        <v>17</v>
      </c>
      <c r="G34" s="48">
        <v>11</v>
      </c>
      <c r="H34" s="50" t="str">
        <f ca="1" t="shared" si="0"/>
        <v>Linden Dahlhauser TV</v>
      </c>
      <c r="I34" s="51" t="s">
        <v>24</v>
      </c>
      <c r="J34" s="49" t="s">
        <v>17</v>
      </c>
      <c r="K34" s="48">
        <v>15</v>
      </c>
      <c r="L34" s="50" t="str">
        <f ca="1" t="shared" si="1"/>
        <v>TSV Ludwigshafen</v>
      </c>
      <c r="M34" s="49" t="s">
        <v>17</v>
      </c>
      <c r="N34" s="48">
        <v>12</v>
      </c>
      <c r="O34" s="50" t="str">
        <f ca="1" t="shared" si="2"/>
        <v>TV Zeilhard </v>
      </c>
      <c r="P34" s="52"/>
      <c r="Q34" s="48">
        <v>45</v>
      </c>
      <c r="R34" s="51" t="s">
        <v>23</v>
      </c>
      <c r="S34" s="48">
        <v>32</v>
      </c>
      <c r="T34" s="53">
        <f t="shared" si="3"/>
        <v>2</v>
      </c>
      <c r="U34" s="51" t="s">
        <v>23</v>
      </c>
      <c r="V34" s="54">
        <f t="shared" si="4"/>
        <v>0</v>
      </c>
      <c r="X34" s="51" t="s">
        <v>44</v>
      </c>
      <c r="Y34" s="51" t="s">
        <v>44</v>
      </c>
      <c r="AA34" s="36" t="s">
        <v>7</v>
      </c>
      <c r="AB34" s="36" t="s">
        <v>20</v>
      </c>
      <c r="AC34" s="28">
        <v>6</v>
      </c>
    </row>
    <row r="35" spans="2:29" ht="12.75">
      <c r="B35" s="36">
        <f>+B31+1</f>
        <v>4</v>
      </c>
      <c r="C35" s="41">
        <f>+Daten!N8</f>
        <v>0.4270833333333333</v>
      </c>
      <c r="D35" s="36">
        <f t="shared" si="5"/>
        <v>13</v>
      </c>
      <c r="E35" s="36">
        <v>1</v>
      </c>
      <c r="F35" s="42" t="s">
        <v>16</v>
      </c>
      <c r="G35" s="36">
        <v>1</v>
      </c>
      <c r="H35" s="43" t="str">
        <f ca="1" t="shared" si="0"/>
        <v>TB Essen-Altendorf</v>
      </c>
      <c r="I35" s="44" t="s">
        <v>24</v>
      </c>
      <c r="J35" s="42" t="s">
        <v>16</v>
      </c>
      <c r="K35" s="36">
        <v>3</v>
      </c>
      <c r="L35" s="43" t="str">
        <f ca="1" t="shared" si="1"/>
        <v>SV Weiler</v>
      </c>
      <c r="M35" s="42" t="s">
        <v>16</v>
      </c>
      <c r="N35" s="36">
        <v>4</v>
      </c>
      <c r="O35" s="43" t="str">
        <f ca="1" t="shared" si="2"/>
        <v>TV Freiburg St. Georgen</v>
      </c>
      <c r="P35" s="45"/>
      <c r="Q35" s="36">
        <v>44</v>
      </c>
      <c r="R35" s="44" t="s">
        <v>23</v>
      </c>
      <c r="S35" s="36">
        <v>22</v>
      </c>
      <c r="T35" s="46">
        <f t="shared" si="3"/>
        <v>2</v>
      </c>
      <c r="U35" s="44" t="s">
        <v>23</v>
      </c>
      <c r="V35" s="47">
        <f t="shared" si="4"/>
        <v>0</v>
      </c>
      <c r="X35" s="44" t="s">
        <v>44</v>
      </c>
      <c r="Y35" s="44" t="s">
        <v>44</v>
      </c>
      <c r="AA35" s="36" t="s">
        <v>7</v>
      </c>
      <c r="AB35" s="36" t="s">
        <v>20</v>
      </c>
      <c r="AC35" s="28">
        <v>7</v>
      </c>
    </row>
    <row r="36" spans="2:29" ht="12.75">
      <c r="B36" s="36"/>
      <c r="C36" s="36"/>
      <c r="D36" s="36">
        <f t="shared" si="5"/>
        <v>14</v>
      </c>
      <c r="E36" s="36">
        <v>2</v>
      </c>
      <c r="F36" s="42" t="s">
        <v>16</v>
      </c>
      <c r="G36" s="36">
        <v>12</v>
      </c>
      <c r="H36" s="43" t="str">
        <f ca="1" t="shared" si="0"/>
        <v>TV Zeilhard </v>
      </c>
      <c r="I36" s="44" t="s">
        <v>24</v>
      </c>
      <c r="J36" s="42" t="s">
        <v>16</v>
      </c>
      <c r="K36" s="36">
        <v>13</v>
      </c>
      <c r="L36" s="43" t="str">
        <f ca="1" t="shared" si="1"/>
        <v>Vegesacker TV</v>
      </c>
      <c r="M36" s="42" t="s">
        <v>16</v>
      </c>
      <c r="N36" s="36">
        <v>14</v>
      </c>
      <c r="O36" s="43" t="str">
        <f ca="1" t="shared" si="2"/>
        <v>BTV Charlottenburg</v>
      </c>
      <c r="P36" s="45"/>
      <c r="Q36" s="36">
        <v>31</v>
      </c>
      <c r="R36" s="44" t="s">
        <v>23</v>
      </c>
      <c r="S36" s="36">
        <v>31</v>
      </c>
      <c r="T36" s="46">
        <f t="shared" si="3"/>
        <v>1</v>
      </c>
      <c r="U36" s="44" t="s">
        <v>23</v>
      </c>
      <c r="V36" s="47">
        <f t="shared" si="4"/>
        <v>1</v>
      </c>
      <c r="X36" s="44" t="s">
        <v>44</v>
      </c>
      <c r="Y36" s="44" t="s">
        <v>44</v>
      </c>
      <c r="AA36" s="36" t="s">
        <v>7</v>
      </c>
      <c r="AB36" s="36" t="s">
        <v>20</v>
      </c>
      <c r="AC36" s="28">
        <v>7</v>
      </c>
    </row>
    <row r="37" spans="2:29" ht="12.75">
      <c r="B37" s="36"/>
      <c r="C37" s="36"/>
      <c r="D37" s="36">
        <f t="shared" si="5"/>
        <v>15</v>
      </c>
      <c r="E37" s="36">
        <v>3</v>
      </c>
      <c r="F37" s="42" t="s">
        <v>17</v>
      </c>
      <c r="G37" s="36">
        <v>1</v>
      </c>
      <c r="H37" s="43" t="str">
        <f ca="1" t="shared" si="0"/>
        <v>GW Wuppertal</v>
      </c>
      <c r="I37" s="44" t="s">
        <v>24</v>
      </c>
      <c r="J37" s="42" t="s">
        <v>17</v>
      </c>
      <c r="K37" s="36">
        <v>3</v>
      </c>
      <c r="L37" s="43" t="str">
        <f ca="1" t="shared" si="1"/>
        <v>TV Mahndorf</v>
      </c>
      <c r="M37" s="42" t="s">
        <v>17</v>
      </c>
      <c r="N37" s="36">
        <v>4</v>
      </c>
      <c r="O37" s="43" t="str">
        <f ca="1" t="shared" si="2"/>
        <v>VfL Waiblingen</v>
      </c>
      <c r="P37" s="45"/>
      <c r="Q37" s="36">
        <v>35</v>
      </c>
      <c r="R37" s="44" t="s">
        <v>23</v>
      </c>
      <c r="S37" s="36">
        <v>36</v>
      </c>
      <c r="T37" s="46">
        <f t="shared" si="3"/>
        <v>0</v>
      </c>
      <c r="U37" s="44" t="s">
        <v>23</v>
      </c>
      <c r="V37" s="47">
        <f t="shared" si="4"/>
        <v>2</v>
      </c>
      <c r="X37" s="44" t="s">
        <v>44</v>
      </c>
      <c r="Y37" s="44" t="s">
        <v>44</v>
      </c>
      <c r="AA37" s="36" t="s">
        <v>7</v>
      </c>
      <c r="AB37" s="36" t="s">
        <v>20</v>
      </c>
      <c r="AC37" s="28">
        <v>8</v>
      </c>
    </row>
    <row r="38" spans="2:29" ht="12.75">
      <c r="B38" s="48"/>
      <c r="C38" s="48"/>
      <c r="D38" s="48">
        <f t="shared" si="5"/>
        <v>16</v>
      </c>
      <c r="E38" s="48">
        <v>4</v>
      </c>
      <c r="F38" s="49" t="s">
        <v>17</v>
      </c>
      <c r="G38" s="48">
        <v>12</v>
      </c>
      <c r="H38" s="50" t="str">
        <f ca="1" t="shared" si="0"/>
        <v>TV Zeilhard </v>
      </c>
      <c r="I38" s="51" t="s">
        <v>24</v>
      </c>
      <c r="J38" s="49" t="s">
        <v>17</v>
      </c>
      <c r="K38" s="48">
        <v>13</v>
      </c>
      <c r="L38" s="50" t="str">
        <f ca="1" t="shared" si="1"/>
        <v>TuS Harsefeld</v>
      </c>
      <c r="M38" s="49" t="s">
        <v>17</v>
      </c>
      <c r="N38" s="48">
        <v>14</v>
      </c>
      <c r="O38" s="50" t="str">
        <f ca="1" t="shared" si="2"/>
        <v>MTV Markoldendorf</v>
      </c>
      <c r="P38" s="52"/>
      <c r="Q38" s="48">
        <v>41</v>
      </c>
      <c r="R38" s="51" t="s">
        <v>23</v>
      </c>
      <c r="S38" s="48">
        <v>32</v>
      </c>
      <c r="T38" s="53">
        <f t="shared" si="3"/>
        <v>2</v>
      </c>
      <c r="U38" s="51" t="s">
        <v>23</v>
      </c>
      <c r="V38" s="54">
        <f t="shared" si="4"/>
        <v>0</v>
      </c>
      <c r="X38" s="51" t="s">
        <v>44</v>
      </c>
      <c r="Y38" s="51" t="s">
        <v>44</v>
      </c>
      <c r="AA38" s="36" t="s">
        <v>7</v>
      </c>
      <c r="AB38" s="36" t="s">
        <v>20</v>
      </c>
      <c r="AC38" s="28">
        <v>8</v>
      </c>
    </row>
    <row r="39" spans="2:29" ht="12.75">
      <c r="B39" s="36">
        <f>+B35+1</f>
        <v>5</v>
      </c>
      <c r="C39" s="41">
        <f>+Daten!N9</f>
        <v>0.4444444444444444</v>
      </c>
      <c r="D39" s="36">
        <f t="shared" si="5"/>
        <v>17</v>
      </c>
      <c r="E39" s="36">
        <v>1</v>
      </c>
      <c r="F39" s="42" t="s">
        <v>16</v>
      </c>
      <c r="G39" s="36">
        <v>4</v>
      </c>
      <c r="H39" s="43" t="str">
        <f ca="1" t="shared" si="0"/>
        <v>TV Freiburg St. Georgen</v>
      </c>
      <c r="I39" s="44" t="s">
        <v>24</v>
      </c>
      <c r="J39" s="42" t="s">
        <v>16</v>
      </c>
      <c r="K39" s="36">
        <v>5</v>
      </c>
      <c r="L39" s="43" t="str">
        <f ca="1" t="shared" si="1"/>
        <v>TV Sottrum</v>
      </c>
      <c r="M39" s="42" t="s">
        <v>16</v>
      </c>
      <c r="N39" s="36">
        <v>1</v>
      </c>
      <c r="O39" s="43" t="str">
        <f ca="1" t="shared" si="2"/>
        <v>TB Essen-Altendorf</v>
      </c>
      <c r="P39" s="45"/>
      <c r="Q39" s="36">
        <v>31</v>
      </c>
      <c r="R39" s="44" t="s">
        <v>23</v>
      </c>
      <c r="S39" s="36">
        <v>33</v>
      </c>
      <c r="T39" s="46">
        <f t="shared" si="3"/>
        <v>0</v>
      </c>
      <c r="U39" s="44" t="s">
        <v>23</v>
      </c>
      <c r="V39" s="47">
        <f t="shared" si="4"/>
        <v>2</v>
      </c>
      <c r="X39" s="44" t="s">
        <v>44</v>
      </c>
      <c r="Y39" s="44" t="s">
        <v>44</v>
      </c>
      <c r="AA39" s="36" t="s">
        <v>7</v>
      </c>
      <c r="AB39" s="36" t="s">
        <v>20</v>
      </c>
      <c r="AC39" s="28">
        <v>9</v>
      </c>
    </row>
    <row r="40" spans="2:29" ht="12.75">
      <c r="B40" s="36"/>
      <c r="C40" s="36"/>
      <c r="D40" s="36">
        <f t="shared" si="5"/>
        <v>18</v>
      </c>
      <c r="E40" s="36">
        <v>2</v>
      </c>
      <c r="F40" s="42" t="s">
        <v>16</v>
      </c>
      <c r="G40" s="36">
        <v>14</v>
      </c>
      <c r="H40" s="43" t="str">
        <f ca="1" t="shared" si="0"/>
        <v>BTV Charlottenburg</v>
      </c>
      <c r="I40" s="44" t="s">
        <v>24</v>
      </c>
      <c r="J40" s="42" t="s">
        <v>16</v>
      </c>
      <c r="K40" s="36">
        <v>15</v>
      </c>
      <c r="L40" s="43" t="str">
        <f ca="1" t="shared" si="1"/>
        <v>VfL Waiblingen</v>
      </c>
      <c r="M40" s="42" t="s">
        <v>16</v>
      </c>
      <c r="N40" s="36">
        <v>11</v>
      </c>
      <c r="O40" s="43" t="str">
        <f ca="1" t="shared" si="2"/>
        <v>TV Hochneukirch</v>
      </c>
      <c r="P40" s="45"/>
      <c r="Q40" s="36">
        <v>42</v>
      </c>
      <c r="R40" s="44" t="s">
        <v>23</v>
      </c>
      <c r="S40" s="36">
        <v>13</v>
      </c>
      <c r="T40" s="46">
        <f t="shared" si="3"/>
        <v>2</v>
      </c>
      <c r="U40" s="44" t="s">
        <v>23</v>
      </c>
      <c r="V40" s="47">
        <f t="shared" si="4"/>
        <v>0</v>
      </c>
      <c r="X40" s="44" t="s">
        <v>44</v>
      </c>
      <c r="Y40" s="44" t="s">
        <v>44</v>
      </c>
      <c r="AA40" s="36" t="s">
        <v>7</v>
      </c>
      <c r="AB40" s="36" t="s">
        <v>20</v>
      </c>
      <c r="AC40" s="28">
        <v>9</v>
      </c>
    </row>
    <row r="41" spans="2:29" ht="12.75">
      <c r="B41" s="36"/>
      <c r="C41" s="36"/>
      <c r="D41" s="36">
        <f t="shared" si="5"/>
        <v>19</v>
      </c>
      <c r="E41" s="36">
        <v>3</v>
      </c>
      <c r="F41" s="42" t="s">
        <v>17</v>
      </c>
      <c r="G41" s="36">
        <v>4</v>
      </c>
      <c r="H41" s="43" t="str">
        <f ca="1" t="shared" si="0"/>
        <v>VfL Waiblingen</v>
      </c>
      <c r="I41" s="44" t="s">
        <v>24</v>
      </c>
      <c r="J41" s="42" t="s">
        <v>17</v>
      </c>
      <c r="K41" s="36">
        <v>5</v>
      </c>
      <c r="L41" s="43" t="str">
        <f ca="1" t="shared" si="1"/>
        <v>Vegesacker TV</v>
      </c>
      <c r="M41" s="42" t="s">
        <v>17</v>
      </c>
      <c r="N41" s="36">
        <v>1</v>
      </c>
      <c r="O41" s="43" t="str">
        <f ca="1" t="shared" si="2"/>
        <v>GW Wuppertal</v>
      </c>
      <c r="P41" s="45"/>
      <c r="Q41" s="36">
        <v>42</v>
      </c>
      <c r="R41" s="44" t="s">
        <v>23</v>
      </c>
      <c r="S41" s="36">
        <v>51</v>
      </c>
      <c r="T41" s="46">
        <f t="shared" si="3"/>
        <v>0</v>
      </c>
      <c r="U41" s="44" t="s">
        <v>23</v>
      </c>
      <c r="V41" s="47">
        <f t="shared" si="4"/>
        <v>2</v>
      </c>
      <c r="X41" s="44" t="s">
        <v>44</v>
      </c>
      <c r="Y41" s="44" t="s">
        <v>44</v>
      </c>
      <c r="AA41" s="36" t="s">
        <v>7</v>
      </c>
      <c r="AB41" s="36" t="s">
        <v>20</v>
      </c>
      <c r="AC41" s="28">
        <v>10</v>
      </c>
    </row>
    <row r="42" spans="2:29" ht="12.75">
      <c r="B42" s="48"/>
      <c r="C42" s="48"/>
      <c r="D42" s="48">
        <f t="shared" si="5"/>
        <v>20</v>
      </c>
      <c r="E42" s="48">
        <v>4</v>
      </c>
      <c r="F42" s="49" t="s">
        <v>17</v>
      </c>
      <c r="G42" s="48">
        <v>14</v>
      </c>
      <c r="H42" s="50" t="str">
        <f ca="1" t="shared" si="0"/>
        <v>MTV Markoldendorf</v>
      </c>
      <c r="I42" s="51" t="s">
        <v>24</v>
      </c>
      <c r="J42" s="49" t="s">
        <v>17</v>
      </c>
      <c r="K42" s="48">
        <v>15</v>
      </c>
      <c r="L42" s="50" t="str">
        <f ca="1" t="shared" si="1"/>
        <v>TSV Ludwigshafen</v>
      </c>
      <c r="M42" s="49" t="s">
        <v>17</v>
      </c>
      <c r="N42" s="48">
        <v>11</v>
      </c>
      <c r="O42" s="50" t="str">
        <f ca="1" t="shared" si="2"/>
        <v>Linden Dahlhauser TV</v>
      </c>
      <c r="P42" s="52"/>
      <c r="Q42" s="48">
        <v>39</v>
      </c>
      <c r="R42" s="51" t="s">
        <v>23</v>
      </c>
      <c r="S42" s="48">
        <v>22</v>
      </c>
      <c r="T42" s="53">
        <f t="shared" si="3"/>
        <v>2</v>
      </c>
      <c r="U42" s="51" t="s">
        <v>23</v>
      </c>
      <c r="V42" s="54">
        <f t="shared" si="4"/>
        <v>0</v>
      </c>
      <c r="X42" s="51" t="s">
        <v>44</v>
      </c>
      <c r="Y42" s="51" t="s">
        <v>44</v>
      </c>
      <c r="AA42" s="36" t="s">
        <v>7</v>
      </c>
      <c r="AB42" s="36" t="s">
        <v>20</v>
      </c>
      <c r="AC42" s="28">
        <v>10</v>
      </c>
    </row>
    <row r="43" spans="2:29" ht="12.75">
      <c r="B43" s="36">
        <f>+B39+1</f>
        <v>6</v>
      </c>
      <c r="C43" s="41">
        <f>+Daten!N10</f>
        <v>0.4618055555555555</v>
      </c>
      <c r="D43" s="36">
        <f t="shared" si="5"/>
        <v>21</v>
      </c>
      <c r="E43" s="36">
        <v>1</v>
      </c>
      <c r="F43" s="42" t="s">
        <v>16</v>
      </c>
      <c r="G43" s="36">
        <v>2</v>
      </c>
      <c r="H43" s="43" t="str">
        <f ca="1" t="shared" si="0"/>
        <v>PV Gundernhausen </v>
      </c>
      <c r="I43" s="44" t="s">
        <v>24</v>
      </c>
      <c r="J43" s="42" t="s">
        <v>16</v>
      </c>
      <c r="K43" s="36">
        <v>3</v>
      </c>
      <c r="L43" s="43" t="str">
        <f ca="1" t="shared" si="1"/>
        <v>SV Weiler</v>
      </c>
      <c r="M43" s="42" t="s">
        <v>16</v>
      </c>
      <c r="N43" s="36">
        <v>1</v>
      </c>
      <c r="O43" s="43" t="str">
        <f ca="1" t="shared" si="2"/>
        <v>TB Essen-Altendorf</v>
      </c>
      <c r="P43" s="45"/>
      <c r="Q43" s="36">
        <v>42</v>
      </c>
      <c r="R43" s="44" t="s">
        <v>23</v>
      </c>
      <c r="S43" s="36">
        <v>32</v>
      </c>
      <c r="T43" s="46">
        <f t="shared" si="3"/>
        <v>2</v>
      </c>
      <c r="U43" s="44" t="s">
        <v>23</v>
      </c>
      <c r="V43" s="47">
        <f t="shared" si="4"/>
        <v>0</v>
      </c>
      <c r="X43" s="44" t="s">
        <v>44</v>
      </c>
      <c r="Y43" s="44" t="s">
        <v>44</v>
      </c>
      <c r="AA43" s="36" t="s">
        <v>7</v>
      </c>
      <c r="AB43" s="36" t="s">
        <v>20</v>
      </c>
      <c r="AC43" s="28">
        <v>11</v>
      </c>
    </row>
    <row r="44" spans="2:29" ht="12.75">
      <c r="B44" s="36"/>
      <c r="C44" s="36"/>
      <c r="D44" s="36">
        <f t="shared" si="5"/>
        <v>22</v>
      </c>
      <c r="E44" s="36">
        <v>2</v>
      </c>
      <c r="F44" s="42" t="s">
        <v>16</v>
      </c>
      <c r="G44" s="36">
        <v>11</v>
      </c>
      <c r="H44" s="43" t="str">
        <f ca="1" t="shared" si="0"/>
        <v>TV Hochneukirch</v>
      </c>
      <c r="I44" s="44" t="s">
        <v>24</v>
      </c>
      <c r="J44" s="42" t="s">
        <v>16</v>
      </c>
      <c r="K44" s="36">
        <v>13</v>
      </c>
      <c r="L44" s="43" t="str">
        <f ca="1" t="shared" si="1"/>
        <v>Vegesacker TV</v>
      </c>
      <c r="M44" s="42" t="s">
        <v>16</v>
      </c>
      <c r="N44" s="36">
        <v>12</v>
      </c>
      <c r="O44" s="43" t="str">
        <f ca="1" t="shared" si="2"/>
        <v>TV Zeilhard </v>
      </c>
      <c r="P44" s="45"/>
      <c r="Q44" s="36">
        <v>31</v>
      </c>
      <c r="R44" s="44" t="s">
        <v>23</v>
      </c>
      <c r="S44" s="36">
        <v>38</v>
      </c>
      <c r="T44" s="46">
        <f t="shared" si="3"/>
        <v>0</v>
      </c>
      <c r="U44" s="44" t="s">
        <v>23</v>
      </c>
      <c r="V44" s="47">
        <f t="shared" si="4"/>
        <v>2</v>
      </c>
      <c r="X44" s="44" t="s">
        <v>44</v>
      </c>
      <c r="Y44" s="44" t="s">
        <v>44</v>
      </c>
      <c r="AA44" s="36" t="s">
        <v>7</v>
      </c>
      <c r="AB44" s="36" t="s">
        <v>20</v>
      </c>
      <c r="AC44" s="28">
        <v>11</v>
      </c>
    </row>
    <row r="45" spans="2:29" ht="12.75">
      <c r="B45" s="36"/>
      <c r="C45" s="36"/>
      <c r="D45" s="36">
        <f t="shared" si="5"/>
        <v>23</v>
      </c>
      <c r="E45" s="36">
        <v>3</v>
      </c>
      <c r="F45" s="42" t="s">
        <v>17</v>
      </c>
      <c r="G45" s="36">
        <v>2</v>
      </c>
      <c r="H45" s="43" t="str">
        <f ca="1" t="shared" si="0"/>
        <v>PV Gundernhausen</v>
      </c>
      <c r="I45" s="44" t="s">
        <v>24</v>
      </c>
      <c r="J45" s="42" t="s">
        <v>17</v>
      </c>
      <c r="K45" s="36">
        <v>3</v>
      </c>
      <c r="L45" s="43" t="str">
        <f ca="1" t="shared" si="1"/>
        <v>TV Mahndorf</v>
      </c>
      <c r="M45" s="42" t="s">
        <v>17</v>
      </c>
      <c r="N45" s="36">
        <v>1</v>
      </c>
      <c r="O45" s="43" t="str">
        <f ca="1" t="shared" si="2"/>
        <v>GW Wuppertal</v>
      </c>
      <c r="P45" s="45"/>
      <c r="Q45" s="36">
        <v>38</v>
      </c>
      <c r="R45" s="44" t="s">
        <v>23</v>
      </c>
      <c r="S45" s="36">
        <v>40</v>
      </c>
      <c r="T45" s="46">
        <f t="shared" si="3"/>
        <v>0</v>
      </c>
      <c r="U45" s="44" t="s">
        <v>23</v>
      </c>
      <c r="V45" s="47">
        <f t="shared" si="4"/>
        <v>2</v>
      </c>
      <c r="X45" s="44" t="s">
        <v>44</v>
      </c>
      <c r="Y45" s="44" t="s">
        <v>44</v>
      </c>
      <c r="AA45" s="36" t="s">
        <v>7</v>
      </c>
      <c r="AB45" s="36" t="s">
        <v>20</v>
      </c>
      <c r="AC45" s="28">
        <v>12</v>
      </c>
    </row>
    <row r="46" spans="2:29" ht="12.75">
      <c r="B46" s="48"/>
      <c r="C46" s="48"/>
      <c r="D46" s="48">
        <f t="shared" si="5"/>
        <v>24</v>
      </c>
      <c r="E46" s="48">
        <v>4</v>
      </c>
      <c r="F46" s="49" t="s">
        <v>17</v>
      </c>
      <c r="G46" s="48">
        <v>11</v>
      </c>
      <c r="H46" s="50" t="str">
        <f ca="1" t="shared" si="0"/>
        <v>Linden Dahlhauser TV</v>
      </c>
      <c r="I46" s="51" t="s">
        <v>24</v>
      </c>
      <c r="J46" s="49" t="s">
        <v>17</v>
      </c>
      <c r="K46" s="48">
        <v>13</v>
      </c>
      <c r="L46" s="50" t="str">
        <f ca="1" t="shared" si="1"/>
        <v>TuS Harsefeld</v>
      </c>
      <c r="M46" s="49" t="s">
        <v>17</v>
      </c>
      <c r="N46" s="48">
        <v>12</v>
      </c>
      <c r="O46" s="50" t="str">
        <f ca="1" t="shared" si="2"/>
        <v>TV Zeilhard </v>
      </c>
      <c r="P46" s="52"/>
      <c r="Q46" s="48">
        <v>39</v>
      </c>
      <c r="R46" s="51" t="s">
        <v>23</v>
      </c>
      <c r="S46" s="48">
        <v>29</v>
      </c>
      <c r="T46" s="53">
        <f t="shared" si="3"/>
        <v>2</v>
      </c>
      <c r="U46" s="51" t="s">
        <v>23</v>
      </c>
      <c r="V46" s="54">
        <f t="shared" si="4"/>
        <v>0</v>
      </c>
      <c r="X46" s="51" t="s">
        <v>44</v>
      </c>
      <c r="Y46" s="51" t="s">
        <v>44</v>
      </c>
      <c r="AA46" s="36" t="s">
        <v>7</v>
      </c>
      <c r="AB46" s="36" t="s">
        <v>20</v>
      </c>
      <c r="AC46" s="28">
        <v>12</v>
      </c>
    </row>
    <row r="47" spans="2:29" ht="12.75">
      <c r="B47" s="36">
        <f>+B43+1</f>
        <v>7</v>
      </c>
      <c r="C47" s="41">
        <f>+Daten!N11</f>
        <v>0.47916666666666663</v>
      </c>
      <c r="D47" s="36">
        <f t="shared" si="5"/>
        <v>25</v>
      </c>
      <c r="E47" s="36">
        <v>1</v>
      </c>
      <c r="F47" s="42" t="s">
        <v>16</v>
      </c>
      <c r="G47" s="36">
        <v>1</v>
      </c>
      <c r="H47" s="43" t="str">
        <f ca="1" t="shared" si="0"/>
        <v>TB Essen-Altendorf</v>
      </c>
      <c r="I47" s="44" t="s">
        <v>24</v>
      </c>
      <c r="J47" s="42" t="s">
        <v>16</v>
      </c>
      <c r="K47" s="36">
        <v>4</v>
      </c>
      <c r="L47" s="43" t="str">
        <f ca="1" t="shared" si="1"/>
        <v>TV Freiburg St. Georgen</v>
      </c>
      <c r="M47" s="42" t="s">
        <v>16</v>
      </c>
      <c r="N47" s="36">
        <v>5</v>
      </c>
      <c r="O47" s="43" t="str">
        <f ca="1" t="shared" si="2"/>
        <v>TV Sottrum</v>
      </c>
      <c r="P47" s="45"/>
      <c r="Q47" s="36">
        <v>42</v>
      </c>
      <c r="R47" s="44" t="s">
        <v>23</v>
      </c>
      <c r="S47" s="36">
        <v>28</v>
      </c>
      <c r="T47" s="46">
        <f t="shared" si="3"/>
        <v>2</v>
      </c>
      <c r="U47" s="44" t="s">
        <v>23</v>
      </c>
      <c r="V47" s="47">
        <f t="shared" si="4"/>
        <v>0</v>
      </c>
      <c r="X47" s="44" t="s">
        <v>44</v>
      </c>
      <c r="Y47" s="44" t="s">
        <v>44</v>
      </c>
      <c r="AA47" s="36" t="s">
        <v>7</v>
      </c>
      <c r="AB47" s="36" t="s">
        <v>20</v>
      </c>
      <c r="AC47" s="28">
        <v>13</v>
      </c>
    </row>
    <row r="48" spans="2:29" ht="12.75">
      <c r="B48" s="36"/>
      <c r="C48" s="36"/>
      <c r="D48" s="36">
        <f t="shared" si="5"/>
        <v>26</v>
      </c>
      <c r="E48" s="36">
        <v>2</v>
      </c>
      <c r="F48" s="42" t="s">
        <v>16</v>
      </c>
      <c r="G48" s="36">
        <v>12</v>
      </c>
      <c r="H48" s="43" t="str">
        <f ca="1" t="shared" si="0"/>
        <v>TV Zeilhard </v>
      </c>
      <c r="I48" s="44" t="s">
        <v>24</v>
      </c>
      <c r="J48" s="42" t="s">
        <v>16</v>
      </c>
      <c r="K48" s="36">
        <v>14</v>
      </c>
      <c r="L48" s="43" t="str">
        <f ca="1" t="shared" si="1"/>
        <v>BTV Charlottenburg</v>
      </c>
      <c r="M48" s="42" t="s">
        <v>16</v>
      </c>
      <c r="N48" s="36">
        <v>15</v>
      </c>
      <c r="O48" s="43" t="str">
        <f ca="1" t="shared" si="2"/>
        <v>VfL Waiblingen</v>
      </c>
      <c r="P48" s="45"/>
      <c r="Q48" s="36">
        <v>34</v>
      </c>
      <c r="R48" s="44" t="s">
        <v>23</v>
      </c>
      <c r="S48" s="36">
        <v>23</v>
      </c>
      <c r="T48" s="46">
        <f t="shared" si="3"/>
        <v>2</v>
      </c>
      <c r="U48" s="44" t="s">
        <v>23</v>
      </c>
      <c r="V48" s="47">
        <f t="shared" si="4"/>
        <v>0</v>
      </c>
      <c r="X48" s="44" t="s">
        <v>44</v>
      </c>
      <c r="Y48" s="44" t="s">
        <v>44</v>
      </c>
      <c r="AA48" s="36" t="s">
        <v>7</v>
      </c>
      <c r="AB48" s="36" t="s">
        <v>20</v>
      </c>
      <c r="AC48" s="28">
        <v>13</v>
      </c>
    </row>
    <row r="49" spans="2:29" ht="12.75">
      <c r="B49" s="36"/>
      <c r="C49" s="36"/>
      <c r="D49" s="36">
        <f t="shared" si="5"/>
        <v>27</v>
      </c>
      <c r="E49" s="36">
        <v>3</v>
      </c>
      <c r="F49" s="42" t="s">
        <v>17</v>
      </c>
      <c r="G49" s="36">
        <v>1</v>
      </c>
      <c r="H49" s="43" t="str">
        <f ca="1" t="shared" si="0"/>
        <v>GW Wuppertal</v>
      </c>
      <c r="I49" s="44" t="s">
        <v>24</v>
      </c>
      <c r="J49" s="42" t="s">
        <v>17</v>
      </c>
      <c r="K49" s="36">
        <v>4</v>
      </c>
      <c r="L49" s="43" t="str">
        <f ca="1" t="shared" si="1"/>
        <v>VfL Waiblingen</v>
      </c>
      <c r="M49" s="42" t="s">
        <v>17</v>
      </c>
      <c r="N49" s="36">
        <v>5</v>
      </c>
      <c r="O49" s="43" t="str">
        <f ca="1" t="shared" si="2"/>
        <v>Vegesacker TV</v>
      </c>
      <c r="P49" s="45"/>
      <c r="Q49" s="36">
        <v>40</v>
      </c>
      <c r="R49" s="44" t="s">
        <v>23</v>
      </c>
      <c r="S49" s="36">
        <v>34</v>
      </c>
      <c r="T49" s="46">
        <f t="shared" si="3"/>
        <v>2</v>
      </c>
      <c r="U49" s="44" t="s">
        <v>23</v>
      </c>
      <c r="V49" s="47">
        <f t="shared" si="4"/>
        <v>0</v>
      </c>
      <c r="X49" s="44" t="s">
        <v>44</v>
      </c>
      <c r="Y49" s="44" t="s">
        <v>44</v>
      </c>
      <c r="AA49" s="36" t="s">
        <v>7</v>
      </c>
      <c r="AB49" s="36" t="s">
        <v>20</v>
      </c>
      <c r="AC49" s="28">
        <v>14</v>
      </c>
    </row>
    <row r="50" spans="2:29" ht="12.75">
      <c r="B50" s="48"/>
      <c r="C50" s="48"/>
      <c r="D50" s="48">
        <f t="shared" si="5"/>
        <v>28</v>
      </c>
      <c r="E50" s="48">
        <v>4</v>
      </c>
      <c r="F50" s="49" t="s">
        <v>17</v>
      </c>
      <c r="G50" s="48">
        <v>12</v>
      </c>
      <c r="H50" s="50" t="str">
        <f ca="1" t="shared" si="0"/>
        <v>TV Zeilhard </v>
      </c>
      <c r="I50" s="51" t="s">
        <v>24</v>
      </c>
      <c r="J50" s="49" t="s">
        <v>17</v>
      </c>
      <c r="K50" s="48">
        <v>14</v>
      </c>
      <c r="L50" s="50" t="str">
        <f ca="1" t="shared" si="1"/>
        <v>MTV Markoldendorf</v>
      </c>
      <c r="M50" s="49" t="s">
        <v>17</v>
      </c>
      <c r="N50" s="48">
        <v>15</v>
      </c>
      <c r="O50" s="50" t="str">
        <f ca="1" t="shared" si="2"/>
        <v>TSV Ludwigshafen</v>
      </c>
      <c r="P50" s="52"/>
      <c r="Q50" s="48">
        <v>31</v>
      </c>
      <c r="R50" s="51" t="s">
        <v>23</v>
      </c>
      <c r="S50" s="48">
        <v>39</v>
      </c>
      <c r="T50" s="53">
        <f t="shared" si="3"/>
        <v>0</v>
      </c>
      <c r="U50" s="51" t="s">
        <v>23</v>
      </c>
      <c r="V50" s="54">
        <f t="shared" si="4"/>
        <v>2</v>
      </c>
      <c r="X50" s="51" t="s">
        <v>44</v>
      </c>
      <c r="Y50" s="51" t="s">
        <v>44</v>
      </c>
      <c r="AA50" s="36" t="s">
        <v>7</v>
      </c>
      <c r="AB50" s="36" t="s">
        <v>20</v>
      </c>
      <c r="AC50" s="28">
        <v>14</v>
      </c>
    </row>
    <row r="51" spans="2:29" ht="12.75">
      <c r="B51" s="36">
        <f>+B47+1</f>
        <v>8</v>
      </c>
      <c r="C51" s="41">
        <f>+Daten!N12</f>
        <v>0.49652777777777773</v>
      </c>
      <c r="D51" s="36">
        <f t="shared" si="5"/>
        <v>29</v>
      </c>
      <c r="E51" s="36">
        <v>1</v>
      </c>
      <c r="F51" s="42" t="s">
        <v>16</v>
      </c>
      <c r="G51" s="36">
        <v>3</v>
      </c>
      <c r="H51" s="43" t="str">
        <f ca="1" t="shared" si="0"/>
        <v>SV Weiler</v>
      </c>
      <c r="I51" s="44" t="s">
        <v>24</v>
      </c>
      <c r="J51" s="42" t="s">
        <v>16</v>
      </c>
      <c r="K51" s="36">
        <v>5</v>
      </c>
      <c r="L51" s="43" t="str">
        <f ca="1" t="shared" si="1"/>
        <v>TV Sottrum</v>
      </c>
      <c r="M51" s="42" t="s">
        <v>16</v>
      </c>
      <c r="N51" s="36">
        <v>1</v>
      </c>
      <c r="O51" s="43" t="str">
        <f ca="1" t="shared" si="2"/>
        <v>TB Essen-Altendorf</v>
      </c>
      <c r="P51" s="45"/>
      <c r="Q51" s="36">
        <v>19</v>
      </c>
      <c r="R51" s="44" t="s">
        <v>23</v>
      </c>
      <c r="S51" s="36">
        <v>41</v>
      </c>
      <c r="T51" s="46">
        <f t="shared" si="3"/>
        <v>0</v>
      </c>
      <c r="U51" s="44" t="s">
        <v>23</v>
      </c>
      <c r="V51" s="47">
        <f t="shared" si="4"/>
        <v>2</v>
      </c>
      <c r="X51" s="44" t="s">
        <v>44</v>
      </c>
      <c r="Y51" s="44" t="s">
        <v>44</v>
      </c>
      <c r="AA51" s="36" t="s">
        <v>7</v>
      </c>
      <c r="AB51" s="36" t="s">
        <v>20</v>
      </c>
      <c r="AC51" s="28">
        <v>15</v>
      </c>
    </row>
    <row r="52" spans="2:29" ht="12.75">
      <c r="B52" s="36"/>
      <c r="C52" s="36"/>
      <c r="D52" s="36">
        <f t="shared" si="5"/>
        <v>30</v>
      </c>
      <c r="E52" s="36">
        <v>2</v>
      </c>
      <c r="F52" s="42" t="s">
        <v>16</v>
      </c>
      <c r="G52" s="36">
        <v>13</v>
      </c>
      <c r="H52" s="43" t="str">
        <f ca="1" t="shared" si="0"/>
        <v>Vegesacker TV</v>
      </c>
      <c r="I52" s="44" t="s">
        <v>24</v>
      </c>
      <c r="J52" s="42" t="s">
        <v>16</v>
      </c>
      <c r="K52" s="36">
        <v>15</v>
      </c>
      <c r="L52" s="43" t="str">
        <f ca="1" t="shared" si="1"/>
        <v>VfL Waiblingen</v>
      </c>
      <c r="M52" s="42" t="s">
        <v>16</v>
      </c>
      <c r="N52" s="36">
        <v>11</v>
      </c>
      <c r="O52" s="43" t="str">
        <f ca="1" t="shared" si="2"/>
        <v>TV Hochneukirch</v>
      </c>
      <c r="P52" s="45"/>
      <c r="Q52" s="36">
        <v>46</v>
      </c>
      <c r="R52" s="44" t="s">
        <v>23</v>
      </c>
      <c r="S52" s="36">
        <v>21</v>
      </c>
      <c r="T52" s="46">
        <f t="shared" si="3"/>
        <v>2</v>
      </c>
      <c r="U52" s="44" t="s">
        <v>23</v>
      </c>
      <c r="V52" s="47">
        <f t="shared" si="4"/>
        <v>0</v>
      </c>
      <c r="X52" s="44" t="s">
        <v>44</v>
      </c>
      <c r="Y52" s="44" t="s">
        <v>44</v>
      </c>
      <c r="AA52" s="36" t="s">
        <v>7</v>
      </c>
      <c r="AB52" s="36" t="s">
        <v>20</v>
      </c>
      <c r="AC52" s="28">
        <v>15</v>
      </c>
    </row>
    <row r="53" spans="2:29" ht="12.75">
      <c r="B53" s="36"/>
      <c r="C53" s="36"/>
      <c r="D53" s="36">
        <f t="shared" si="5"/>
        <v>31</v>
      </c>
      <c r="E53" s="36">
        <v>3</v>
      </c>
      <c r="F53" s="42" t="s">
        <v>17</v>
      </c>
      <c r="G53" s="36">
        <v>3</v>
      </c>
      <c r="H53" s="43" t="str">
        <f ca="1" t="shared" si="0"/>
        <v>TV Mahndorf</v>
      </c>
      <c r="I53" s="44" t="s">
        <v>24</v>
      </c>
      <c r="J53" s="42" t="s">
        <v>17</v>
      </c>
      <c r="K53" s="36">
        <v>5</v>
      </c>
      <c r="L53" s="43" t="str">
        <f ca="1" t="shared" si="1"/>
        <v>Vegesacker TV</v>
      </c>
      <c r="M53" s="42" t="s">
        <v>17</v>
      </c>
      <c r="N53" s="36">
        <v>1</v>
      </c>
      <c r="O53" s="43" t="str">
        <f ca="1" t="shared" si="2"/>
        <v>GW Wuppertal</v>
      </c>
      <c r="P53" s="45"/>
      <c r="Q53" s="36">
        <v>33</v>
      </c>
      <c r="R53" s="44" t="s">
        <v>23</v>
      </c>
      <c r="S53" s="36">
        <v>48</v>
      </c>
      <c r="T53" s="46">
        <f t="shared" si="3"/>
        <v>0</v>
      </c>
      <c r="U53" s="44" t="s">
        <v>23</v>
      </c>
      <c r="V53" s="47">
        <f t="shared" si="4"/>
        <v>2</v>
      </c>
      <c r="X53" s="44" t="s">
        <v>44</v>
      </c>
      <c r="Y53" s="44" t="s">
        <v>44</v>
      </c>
      <c r="AA53" s="36" t="s">
        <v>7</v>
      </c>
      <c r="AB53" s="36" t="s">
        <v>20</v>
      </c>
      <c r="AC53" s="28">
        <v>16</v>
      </c>
    </row>
    <row r="54" spans="2:29" ht="12.75">
      <c r="B54" s="48"/>
      <c r="C54" s="48"/>
      <c r="D54" s="48">
        <f t="shared" si="5"/>
        <v>32</v>
      </c>
      <c r="E54" s="48">
        <v>4</v>
      </c>
      <c r="F54" s="49" t="s">
        <v>17</v>
      </c>
      <c r="G54" s="48">
        <v>13</v>
      </c>
      <c r="H54" s="50" t="str">
        <f ca="1" t="shared" si="0"/>
        <v>TuS Harsefeld</v>
      </c>
      <c r="I54" s="51" t="s">
        <v>24</v>
      </c>
      <c r="J54" s="49" t="s">
        <v>17</v>
      </c>
      <c r="K54" s="48">
        <v>15</v>
      </c>
      <c r="L54" s="50" t="str">
        <f ca="1" t="shared" si="1"/>
        <v>TSV Ludwigshafen</v>
      </c>
      <c r="M54" s="49" t="s">
        <v>17</v>
      </c>
      <c r="N54" s="48">
        <v>11</v>
      </c>
      <c r="O54" s="50" t="str">
        <f ca="1" t="shared" si="2"/>
        <v>Linden Dahlhauser TV</v>
      </c>
      <c r="P54" s="52"/>
      <c r="Q54" s="48">
        <v>40</v>
      </c>
      <c r="R54" s="51" t="s">
        <v>23</v>
      </c>
      <c r="S54" s="48">
        <v>36</v>
      </c>
      <c r="T54" s="53">
        <f t="shared" si="3"/>
        <v>2</v>
      </c>
      <c r="U54" s="51" t="s">
        <v>23</v>
      </c>
      <c r="V54" s="54">
        <f t="shared" si="4"/>
        <v>0</v>
      </c>
      <c r="X54" s="51" t="s">
        <v>44</v>
      </c>
      <c r="Y54" s="51" t="s">
        <v>44</v>
      </c>
      <c r="AA54" s="36" t="s">
        <v>7</v>
      </c>
      <c r="AB54" s="36" t="s">
        <v>20</v>
      </c>
      <c r="AC54" s="28">
        <v>16</v>
      </c>
    </row>
    <row r="55" spans="2:29" ht="12.75">
      <c r="B55" s="36">
        <f>+B51+1</f>
        <v>9</v>
      </c>
      <c r="C55" s="41">
        <f>+Daten!N13</f>
        <v>0.5138888888888888</v>
      </c>
      <c r="D55" s="36">
        <f t="shared" si="5"/>
        <v>33</v>
      </c>
      <c r="E55" s="36">
        <v>1</v>
      </c>
      <c r="F55" s="42" t="s">
        <v>16</v>
      </c>
      <c r="G55" s="36">
        <v>2</v>
      </c>
      <c r="H55" s="43" t="str">
        <f ca="1" t="shared" si="0"/>
        <v>PV Gundernhausen </v>
      </c>
      <c r="I55" s="44" t="s">
        <v>24</v>
      </c>
      <c r="J55" s="42" t="s">
        <v>16</v>
      </c>
      <c r="K55" s="36">
        <v>4</v>
      </c>
      <c r="L55" s="43" t="str">
        <f ca="1" t="shared" si="1"/>
        <v>TV Freiburg St. Georgen</v>
      </c>
      <c r="M55" s="42" t="s">
        <v>16</v>
      </c>
      <c r="N55" s="36">
        <v>3</v>
      </c>
      <c r="O55" s="43" t="str">
        <f ca="1" t="shared" si="2"/>
        <v>SV Weiler</v>
      </c>
      <c r="P55" s="45"/>
      <c r="Q55" s="36">
        <v>37</v>
      </c>
      <c r="R55" s="44" t="s">
        <v>23</v>
      </c>
      <c r="S55" s="36">
        <v>26</v>
      </c>
      <c r="T55" s="46">
        <f aca="true" t="shared" si="6" ref="T55:T86">IF(Q55="","",IF(Q55&gt;S55,2,IF(Q55&lt;S55,0,1)))</f>
        <v>2</v>
      </c>
      <c r="U55" s="44" t="s">
        <v>23</v>
      </c>
      <c r="V55" s="47">
        <f aca="true" t="shared" si="7" ref="V55:V86">IF(S55="","",IF(S55&gt;Q55,2,IF(S55&lt;Q55,0,1)))</f>
        <v>0</v>
      </c>
      <c r="X55" s="44" t="s">
        <v>44</v>
      </c>
      <c r="Y55" s="44" t="s">
        <v>44</v>
      </c>
      <c r="AA55" s="36" t="s">
        <v>7</v>
      </c>
      <c r="AB55" s="36" t="s">
        <v>20</v>
      </c>
      <c r="AC55" s="28">
        <v>17</v>
      </c>
    </row>
    <row r="56" spans="2:29" ht="12.75">
      <c r="B56" s="36"/>
      <c r="C56" s="36"/>
      <c r="D56" s="36">
        <f t="shared" si="5"/>
        <v>34</v>
      </c>
      <c r="E56" s="36">
        <v>2</v>
      </c>
      <c r="F56" s="42" t="s">
        <v>16</v>
      </c>
      <c r="G56" s="36">
        <v>11</v>
      </c>
      <c r="H56" s="43" t="str">
        <f ca="1" t="shared" si="0"/>
        <v>TV Hochneukirch</v>
      </c>
      <c r="I56" s="44" t="s">
        <v>24</v>
      </c>
      <c r="J56" s="42" t="s">
        <v>16</v>
      </c>
      <c r="K56" s="36">
        <v>14</v>
      </c>
      <c r="L56" s="43" t="str">
        <f ca="1" t="shared" si="1"/>
        <v>BTV Charlottenburg</v>
      </c>
      <c r="M56" s="42" t="s">
        <v>16</v>
      </c>
      <c r="N56" s="36">
        <v>13</v>
      </c>
      <c r="O56" s="43" t="str">
        <f ca="1" t="shared" si="2"/>
        <v>Vegesacker TV</v>
      </c>
      <c r="P56" s="45"/>
      <c r="Q56" s="36">
        <v>28</v>
      </c>
      <c r="R56" s="44" t="s">
        <v>23</v>
      </c>
      <c r="S56" s="36">
        <v>34</v>
      </c>
      <c r="T56" s="46">
        <f t="shared" si="6"/>
        <v>0</v>
      </c>
      <c r="U56" s="44" t="s">
        <v>23</v>
      </c>
      <c r="V56" s="47">
        <f t="shared" si="7"/>
        <v>2</v>
      </c>
      <c r="X56" s="44" t="s">
        <v>44</v>
      </c>
      <c r="Y56" s="44" t="s">
        <v>44</v>
      </c>
      <c r="AA56" s="36" t="s">
        <v>7</v>
      </c>
      <c r="AB56" s="36" t="s">
        <v>20</v>
      </c>
      <c r="AC56" s="28">
        <v>17</v>
      </c>
    </row>
    <row r="57" spans="2:29" ht="12.75">
      <c r="B57" s="36"/>
      <c r="C57" s="36"/>
      <c r="D57" s="36">
        <f t="shared" si="5"/>
        <v>35</v>
      </c>
      <c r="E57" s="36">
        <v>3</v>
      </c>
      <c r="F57" s="42" t="s">
        <v>17</v>
      </c>
      <c r="G57" s="36">
        <v>2</v>
      </c>
      <c r="H57" s="43" t="str">
        <f ca="1" t="shared" si="0"/>
        <v>PV Gundernhausen</v>
      </c>
      <c r="I57" s="44" t="s">
        <v>24</v>
      </c>
      <c r="J57" s="42" t="s">
        <v>17</v>
      </c>
      <c r="K57" s="36">
        <v>4</v>
      </c>
      <c r="L57" s="43" t="str">
        <f ca="1" t="shared" si="1"/>
        <v>VfL Waiblingen</v>
      </c>
      <c r="M57" s="42" t="s">
        <v>17</v>
      </c>
      <c r="N57" s="36">
        <v>3</v>
      </c>
      <c r="O57" s="43" t="str">
        <f ca="1" t="shared" si="2"/>
        <v>TV Mahndorf</v>
      </c>
      <c r="P57" s="45"/>
      <c r="Q57" s="36">
        <v>42</v>
      </c>
      <c r="R57" s="44" t="s">
        <v>23</v>
      </c>
      <c r="S57" s="36">
        <v>29</v>
      </c>
      <c r="T57" s="46">
        <f t="shared" si="6"/>
        <v>2</v>
      </c>
      <c r="U57" s="44" t="s">
        <v>23</v>
      </c>
      <c r="V57" s="47">
        <f t="shared" si="7"/>
        <v>0</v>
      </c>
      <c r="X57" s="44" t="s">
        <v>44</v>
      </c>
      <c r="Y57" s="44" t="s">
        <v>44</v>
      </c>
      <c r="AA57" s="36" t="s">
        <v>7</v>
      </c>
      <c r="AB57" s="36" t="s">
        <v>20</v>
      </c>
      <c r="AC57" s="28">
        <v>18</v>
      </c>
    </row>
    <row r="58" spans="2:29" ht="12.75">
      <c r="B58" s="48"/>
      <c r="C58" s="48"/>
      <c r="D58" s="48">
        <f t="shared" si="5"/>
        <v>36</v>
      </c>
      <c r="E58" s="48">
        <v>4</v>
      </c>
      <c r="F58" s="49" t="s">
        <v>17</v>
      </c>
      <c r="G58" s="48">
        <v>11</v>
      </c>
      <c r="H58" s="50" t="str">
        <f ca="1" t="shared" si="0"/>
        <v>Linden Dahlhauser TV</v>
      </c>
      <c r="I58" s="51" t="s">
        <v>24</v>
      </c>
      <c r="J58" s="49" t="s">
        <v>17</v>
      </c>
      <c r="K58" s="48">
        <v>14</v>
      </c>
      <c r="L58" s="50" t="str">
        <f ca="1" t="shared" si="1"/>
        <v>MTV Markoldendorf</v>
      </c>
      <c r="M58" s="49" t="s">
        <v>17</v>
      </c>
      <c r="N58" s="48">
        <v>13</v>
      </c>
      <c r="O58" s="50" t="str">
        <f ca="1" t="shared" si="2"/>
        <v>TuS Harsefeld</v>
      </c>
      <c r="P58" s="52"/>
      <c r="Q58" s="48">
        <v>33</v>
      </c>
      <c r="R58" s="51" t="s">
        <v>23</v>
      </c>
      <c r="S58" s="48">
        <v>29</v>
      </c>
      <c r="T58" s="53">
        <f t="shared" si="6"/>
        <v>2</v>
      </c>
      <c r="U58" s="51" t="s">
        <v>23</v>
      </c>
      <c r="V58" s="54">
        <f t="shared" si="7"/>
        <v>0</v>
      </c>
      <c r="X58" s="51" t="s">
        <v>44</v>
      </c>
      <c r="Y58" s="51" t="s">
        <v>44</v>
      </c>
      <c r="AA58" s="36" t="s">
        <v>7</v>
      </c>
      <c r="AB58" s="36" t="s">
        <v>20</v>
      </c>
      <c r="AC58" s="28">
        <v>18</v>
      </c>
    </row>
    <row r="59" spans="2:29" ht="12.75">
      <c r="B59" s="36">
        <f>+B55+1</f>
        <v>10</v>
      </c>
      <c r="C59" s="41">
        <f>+Daten!N14</f>
        <v>0.53125</v>
      </c>
      <c r="D59" s="36">
        <f t="shared" si="5"/>
        <v>37</v>
      </c>
      <c r="E59" s="36">
        <v>1</v>
      </c>
      <c r="F59" s="42" t="s">
        <v>16</v>
      </c>
      <c r="G59" s="36">
        <v>1</v>
      </c>
      <c r="H59" s="43" t="str">
        <f ca="1" t="shared" si="0"/>
        <v>TB Essen-Altendorf</v>
      </c>
      <c r="I59" s="44" t="s">
        <v>24</v>
      </c>
      <c r="J59" s="42" t="s">
        <v>16</v>
      </c>
      <c r="K59" s="36">
        <v>5</v>
      </c>
      <c r="L59" s="43" t="str">
        <f ca="1" t="shared" si="1"/>
        <v>TV Sottrum</v>
      </c>
      <c r="M59" s="42" t="s">
        <v>16</v>
      </c>
      <c r="N59" s="36">
        <v>4</v>
      </c>
      <c r="O59" s="43" t="str">
        <f ca="1" t="shared" si="2"/>
        <v>TV Freiburg St. Georgen</v>
      </c>
      <c r="P59" s="45"/>
      <c r="Q59" s="36">
        <v>30</v>
      </c>
      <c r="R59" s="44" t="s">
        <v>23</v>
      </c>
      <c r="S59" s="36">
        <v>35</v>
      </c>
      <c r="T59" s="46">
        <f t="shared" si="6"/>
        <v>0</v>
      </c>
      <c r="U59" s="44" t="s">
        <v>23</v>
      </c>
      <c r="V59" s="47">
        <f t="shared" si="7"/>
        <v>2</v>
      </c>
      <c r="X59" s="44" t="s">
        <v>44</v>
      </c>
      <c r="Y59" s="44" t="s">
        <v>44</v>
      </c>
      <c r="AA59" s="36" t="s">
        <v>7</v>
      </c>
      <c r="AB59" s="36" t="s">
        <v>20</v>
      </c>
      <c r="AC59" s="28">
        <v>19</v>
      </c>
    </row>
    <row r="60" spans="2:29" ht="12.75">
      <c r="B60" s="36"/>
      <c r="C60" s="36"/>
      <c r="D60" s="36">
        <f t="shared" si="5"/>
        <v>38</v>
      </c>
      <c r="E60" s="36">
        <v>2</v>
      </c>
      <c r="F60" s="42" t="s">
        <v>16</v>
      </c>
      <c r="G60" s="36">
        <v>12</v>
      </c>
      <c r="H60" s="43" t="str">
        <f ca="1" t="shared" si="0"/>
        <v>TV Zeilhard </v>
      </c>
      <c r="I60" s="44" t="s">
        <v>24</v>
      </c>
      <c r="J60" s="42" t="s">
        <v>16</v>
      </c>
      <c r="K60" s="36">
        <v>15</v>
      </c>
      <c r="L60" s="43" t="str">
        <f ca="1" t="shared" si="1"/>
        <v>VfL Waiblingen</v>
      </c>
      <c r="M60" s="42" t="s">
        <v>16</v>
      </c>
      <c r="N60" s="36">
        <v>14</v>
      </c>
      <c r="O60" s="43" t="str">
        <f ca="1" t="shared" si="2"/>
        <v>BTV Charlottenburg</v>
      </c>
      <c r="P60" s="45"/>
      <c r="Q60" s="36">
        <v>49</v>
      </c>
      <c r="R60" s="44" t="s">
        <v>23</v>
      </c>
      <c r="S60" s="36">
        <v>18</v>
      </c>
      <c r="T60" s="46">
        <f t="shared" si="6"/>
        <v>2</v>
      </c>
      <c r="U60" s="44" t="s">
        <v>23</v>
      </c>
      <c r="V60" s="47">
        <f t="shared" si="7"/>
        <v>0</v>
      </c>
      <c r="X60" s="44" t="s">
        <v>44</v>
      </c>
      <c r="Y60" s="44" t="s">
        <v>44</v>
      </c>
      <c r="AA60" s="36" t="s">
        <v>7</v>
      </c>
      <c r="AB60" s="36" t="s">
        <v>20</v>
      </c>
      <c r="AC60" s="28">
        <v>19</v>
      </c>
    </row>
    <row r="61" spans="2:29" ht="12.75">
      <c r="B61" s="36"/>
      <c r="C61" s="36"/>
      <c r="D61" s="36">
        <f t="shared" si="5"/>
        <v>39</v>
      </c>
      <c r="E61" s="36">
        <v>3</v>
      </c>
      <c r="F61" s="42" t="s">
        <v>17</v>
      </c>
      <c r="G61" s="36">
        <v>1</v>
      </c>
      <c r="H61" s="43" t="str">
        <f ca="1" t="shared" si="0"/>
        <v>GW Wuppertal</v>
      </c>
      <c r="I61" s="44" t="s">
        <v>24</v>
      </c>
      <c r="J61" s="42" t="s">
        <v>17</v>
      </c>
      <c r="K61" s="36">
        <v>5</v>
      </c>
      <c r="L61" s="43" t="str">
        <f ca="1" t="shared" si="1"/>
        <v>Vegesacker TV</v>
      </c>
      <c r="M61" s="42" t="s">
        <v>17</v>
      </c>
      <c r="N61" s="36">
        <v>4</v>
      </c>
      <c r="O61" s="43" t="str">
        <f ca="1" t="shared" si="2"/>
        <v>VfL Waiblingen</v>
      </c>
      <c r="P61" s="45"/>
      <c r="Q61" s="36">
        <v>41</v>
      </c>
      <c r="R61" s="44" t="s">
        <v>23</v>
      </c>
      <c r="S61" s="36">
        <v>48</v>
      </c>
      <c r="T61" s="46">
        <f t="shared" si="6"/>
        <v>0</v>
      </c>
      <c r="U61" s="44" t="s">
        <v>23</v>
      </c>
      <c r="V61" s="47">
        <f t="shared" si="7"/>
        <v>2</v>
      </c>
      <c r="X61" s="44" t="s">
        <v>44</v>
      </c>
      <c r="Y61" s="44" t="s">
        <v>44</v>
      </c>
      <c r="AA61" s="36" t="s">
        <v>7</v>
      </c>
      <c r="AB61" s="36" t="s">
        <v>20</v>
      </c>
      <c r="AC61" s="28">
        <v>20</v>
      </c>
    </row>
    <row r="62" spans="2:29" ht="12.75">
      <c r="B62" s="48"/>
      <c r="C62" s="48"/>
      <c r="D62" s="48">
        <f t="shared" si="5"/>
        <v>40</v>
      </c>
      <c r="E62" s="48">
        <v>4</v>
      </c>
      <c r="F62" s="49" t="s">
        <v>17</v>
      </c>
      <c r="G62" s="48">
        <v>12</v>
      </c>
      <c r="H62" s="50" t="str">
        <f ca="1" t="shared" si="0"/>
        <v>TV Zeilhard </v>
      </c>
      <c r="I62" s="51" t="s">
        <v>24</v>
      </c>
      <c r="J62" s="49" t="s">
        <v>17</v>
      </c>
      <c r="K62" s="48">
        <v>15</v>
      </c>
      <c r="L62" s="50" t="str">
        <f ca="1" t="shared" si="1"/>
        <v>TSV Ludwigshafen</v>
      </c>
      <c r="M62" s="49" t="s">
        <v>17</v>
      </c>
      <c r="N62" s="48">
        <v>14</v>
      </c>
      <c r="O62" s="50" t="str">
        <f ca="1" t="shared" si="2"/>
        <v>MTV Markoldendorf</v>
      </c>
      <c r="P62" s="52"/>
      <c r="Q62" s="48">
        <v>39</v>
      </c>
      <c r="R62" s="51" t="s">
        <v>23</v>
      </c>
      <c r="S62" s="48">
        <v>36</v>
      </c>
      <c r="T62" s="53">
        <f t="shared" si="6"/>
        <v>2</v>
      </c>
      <c r="U62" s="51" t="s">
        <v>23</v>
      </c>
      <c r="V62" s="54">
        <f t="shared" si="7"/>
        <v>0</v>
      </c>
      <c r="X62" s="51" t="s">
        <v>44</v>
      </c>
      <c r="Y62" s="51" t="s">
        <v>44</v>
      </c>
      <c r="AA62" s="36" t="s">
        <v>7</v>
      </c>
      <c r="AB62" s="36" t="s">
        <v>20</v>
      </c>
      <c r="AC62" s="28">
        <v>20</v>
      </c>
    </row>
    <row r="63" spans="2:28" ht="12.75" hidden="1" outlineLevel="1">
      <c r="B63" s="55" t="s">
        <v>45</v>
      </c>
      <c r="C63" s="55"/>
      <c r="D63" s="55" t="s">
        <v>26</v>
      </c>
      <c r="E63" s="36">
        <v>1</v>
      </c>
      <c r="F63" s="56" t="s">
        <v>17</v>
      </c>
      <c r="G63" s="55"/>
      <c r="H63" s="43"/>
      <c r="I63" s="44"/>
      <c r="J63" s="56"/>
      <c r="K63" s="55"/>
      <c r="L63" s="43"/>
      <c r="M63" s="56"/>
      <c r="N63" s="55"/>
      <c r="O63" s="43"/>
      <c r="P63" s="57"/>
      <c r="Q63" s="36"/>
      <c r="R63" s="44" t="s">
        <v>23</v>
      </c>
      <c r="S63" s="36"/>
      <c r="T63" s="46">
        <f t="shared" si="6"/>
      </c>
      <c r="U63" s="44" t="s">
        <v>23</v>
      </c>
      <c r="V63" s="47">
        <f t="shared" si="7"/>
      </c>
      <c r="X63" s="44" t="s">
        <v>44</v>
      </c>
      <c r="Y63" s="44" t="s">
        <v>44</v>
      </c>
      <c r="AA63" s="36" t="s">
        <v>46</v>
      </c>
      <c r="AB63" s="36" t="s">
        <v>122</v>
      </c>
    </row>
    <row r="64" spans="2:28" ht="12.75" hidden="1" outlineLevel="1">
      <c r="B64" s="55" t="s">
        <v>25</v>
      </c>
      <c r="C64" s="55"/>
      <c r="D64" s="55" t="s">
        <v>27</v>
      </c>
      <c r="E64" s="36">
        <v>2</v>
      </c>
      <c r="F64" s="56" t="s">
        <v>17</v>
      </c>
      <c r="G64" s="55"/>
      <c r="H64" s="43"/>
      <c r="I64" s="44"/>
      <c r="J64" s="56"/>
      <c r="K64" s="55"/>
      <c r="L64" s="43"/>
      <c r="M64" s="56"/>
      <c r="N64" s="55"/>
      <c r="O64" s="43"/>
      <c r="P64" s="57"/>
      <c r="Q64" s="36"/>
      <c r="R64" s="44" t="s">
        <v>23</v>
      </c>
      <c r="S64" s="36"/>
      <c r="T64" s="46">
        <f t="shared" si="6"/>
      </c>
      <c r="U64" s="44" t="s">
        <v>23</v>
      </c>
      <c r="V64" s="47">
        <f t="shared" si="7"/>
      </c>
      <c r="X64" s="44" t="s">
        <v>44</v>
      </c>
      <c r="Y64" s="44" t="s">
        <v>44</v>
      </c>
      <c r="AA64" s="36" t="s">
        <v>46</v>
      </c>
      <c r="AB64" s="36" t="s">
        <v>122</v>
      </c>
    </row>
    <row r="65" spans="2:28" ht="12.75" hidden="1" outlineLevel="1">
      <c r="B65" s="55"/>
      <c r="C65" s="55"/>
      <c r="D65" s="55" t="s">
        <v>30</v>
      </c>
      <c r="E65" s="36">
        <v>3</v>
      </c>
      <c r="F65" s="56" t="s">
        <v>16</v>
      </c>
      <c r="G65" s="55">
        <v>12</v>
      </c>
      <c r="H65" s="43" t="str">
        <f ca="1" t="shared" si="0"/>
        <v>TV Zeilhard </v>
      </c>
      <c r="I65" s="44" t="s">
        <v>24</v>
      </c>
      <c r="J65" s="56" t="s">
        <v>17</v>
      </c>
      <c r="K65" s="55">
        <v>13</v>
      </c>
      <c r="L65" s="43" t="str">
        <f ca="1" t="shared" si="1"/>
        <v>TuS Harsefeld</v>
      </c>
      <c r="M65" s="56" t="s">
        <v>17</v>
      </c>
      <c r="N65" s="55"/>
      <c r="O65" s="43"/>
      <c r="P65" s="57"/>
      <c r="Q65" s="36">
        <v>20</v>
      </c>
      <c r="R65" s="44" t="s">
        <v>23</v>
      </c>
      <c r="S65" s="36">
        <v>18</v>
      </c>
      <c r="T65" s="46">
        <f t="shared" si="6"/>
        <v>2</v>
      </c>
      <c r="U65" s="44" t="s">
        <v>23</v>
      </c>
      <c r="V65" s="47">
        <f t="shared" si="7"/>
        <v>0</v>
      </c>
      <c r="X65" s="44" t="s">
        <v>44</v>
      </c>
      <c r="Y65" s="44" t="s">
        <v>44</v>
      </c>
      <c r="AA65" s="36" t="s">
        <v>46</v>
      </c>
      <c r="AB65" s="36" t="s">
        <v>122</v>
      </c>
    </row>
    <row r="66" spans="2:28" ht="12.75" hidden="1" outlineLevel="1">
      <c r="B66" s="48"/>
      <c r="C66" s="48"/>
      <c r="D66" s="48" t="s">
        <v>31</v>
      </c>
      <c r="E66" s="48">
        <v>4</v>
      </c>
      <c r="F66" s="49" t="s">
        <v>17</v>
      </c>
      <c r="G66" s="48"/>
      <c r="H66" s="50"/>
      <c r="I66" s="51"/>
      <c r="J66" s="49"/>
      <c r="K66" s="48"/>
      <c r="L66" s="50"/>
      <c r="M66" s="49"/>
      <c r="N66" s="48"/>
      <c r="O66" s="50"/>
      <c r="P66" s="52"/>
      <c r="Q66" s="48"/>
      <c r="R66" s="51" t="s">
        <v>23</v>
      </c>
      <c r="S66" s="48"/>
      <c r="T66" s="53">
        <f t="shared" si="6"/>
      </c>
      <c r="U66" s="51" t="s">
        <v>23</v>
      </c>
      <c r="V66" s="54">
        <f t="shared" si="7"/>
      </c>
      <c r="X66" s="51" t="s">
        <v>44</v>
      </c>
      <c r="Y66" s="51" t="s">
        <v>44</v>
      </c>
      <c r="AA66" s="36" t="s">
        <v>46</v>
      </c>
      <c r="AB66" s="36" t="s">
        <v>122</v>
      </c>
    </row>
    <row r="67" spans="2:28" ht="12.75" hidden="1" outlineLevel="1">
      <c r="B67" s="55" t="s">
        <v>47</v>
      </c>
      <c r="C67" s="55"/>
      <c r="D67" s="55" t="s">
        <v>33</v>
      </c>
      <c r="E67" s="36">
        <v>1</v>
      </c>
      <c r="F67" s="56"/>
      <c r="G67" s="55"/>
      <c r="H67" s="43"/>
      <c r="I67" s="44" t="s">
        <v>24</v>
      </c>
      <c r="J67" s="56"/>
      <c r="K67" s="55"/>
      <c r="L67" s="43"/>
      <c r="M67" s="56"/>
      <c r="N67" s="55"/>
      <c r="O67" s="43"/>
      <c r="P67" s="57"/>
      <c r="Q67" s="36"/>
      <c r="R67" s="44" t="s">
        <v>23</v>
      </c>
      <c r="S67" s="36"/>
      <c r="T67" s="46">
        <f t="shared" si="6"/>
      </c>
      <c r="U67" s="44" t="s">
        <v>23</v>
      </c>
      <c r="V67" s="47">
        <f t="shared" si="7"/>
      </c>
      <c r="X67" s="44" t="s">
        <v>44</v>
      </c>
      <c r="Y67" s="44" t="s">
        <v>44</v>
      </c>
      <c r="AA67" s="36" t="s">
        <v>46</v>
      </c>
      <c r="AB67" s="36" t="s">
        <v>122</v>
      </c>
    </row>
    <row r="68" spans="2:28" ht="12.75" hidden="1" outlineLevel="1">
      <c r="B68" s="55" t="s">
        <v>25</v>
      </c>
      <c r="C68" s="55"/>
      <c r="D68" s="55" t="s">
        <v>34</v>
      </c>
      <c r="E68" s="36">
        <v>2</v>
      </c>
      <c r="F68" s="56"/>
      <c r="G68" s="55"/>
      <c r="H68" s="43"/>
      <c r="I68" s="44" t="s">
        <v>24</v>
      </c>
      <c r="J68" s="56"/>
      <c r="K68" s="55"/>
      <c r="L68" s="43"/>
      <c r="M68" s="56"/>
      <c r="N68" s="55"/>
      <c r="O68" s="43"/>
      <c r="P68" s="57"/>
      <c r="Q68" s="36"/>
      <c r="R68" s="44" t="s">
        <v>23</v>
      </c>
      <c r="S68" s="36"/>
      <c r="T68" s="46">
        <f t="shared" si="6"/>
      </c>
      <c r="U68" s="44" t="s">
        <v>23</v>
      </c>
      <c r="V68" s="47">
        <f t="shared" si="7"/>
      </c>
      <c r="X68" s="44" t="s">
        <v>44</v>
      </c>
      <c r="Y68" s="44" t="s">
        <v>44</v>
      </c>
      <c r="AA68" s="36" t="s">
        <v>46</v>
      </c>
      <c r="AB68" s="36" t="s">
        <v>122</v>
      </c>
    </row>
    <row r="69" spans="2:28" ht="12.75" hidden="1" outlineLevel="1">
      <c r="B69" s="55"/>
      <c r="C69" s="55"/>
      <c r="D69" s="55" t="s">
        <v>48</v>
      </c>
      <c r="E69" s="36">
        <v>3</v>
      </c>
      <c r="F69" s="56"/>
      <c r="G69" s="55"/>
      <c r="H69" s="43"/>
      <c r="I69" s="44" t="s">
        <v>24</v>
      </c>
      <c r="J69" s="56"/>
      <c r="K69" s="55"/>
      <c r="L69" s="43"/>
      <c r="M69" s="56"/>
      <c r="N69" s="55"/>
      <c r="O69" s="43"/>
      <c r="P69" s="57"/>
      <c r="Q69" s="36"/>
      <c r="R69" s="44" t="s">
        <v>23</v>
      </c>
      <c r="S69" s="36"/>
      <c r="T69" s="46">
        <f t="shared" si="6"/>
      </c>
      <c r="U69" s="44" t="s">
        <v>23</v>
      </c>
      <c r="V69" s="47">
        <f t="shared" si="7"/>
      </c>
      <c r="X69" s="44" t="s">
        <v>44</v>
      </c>
      <c r="Y69" s="44" t="s">
        <v>44</v>
      </c>
      <c r="AA69" s="36" t="s">
        <v>46</v>
      </c>
      <c r="AB69" s="36" t="s">
        <v>122</v>
      </c>
    </row>
    <row r="70" spans="2:28" ht="12.75" hidden="1" outlineLevel="1">
      <c r="B70" s="48"/>
      <c r="C70" s="48"/>
      <c r="D70" s="48" t="s">
        <v>49</v>
      </c>
      <c r="E70" s="48">
        <v>4</v>
      </c>
      <c r="F70" s="49"/>
      <c r="G70" s="48"/>
      <c r="H70" s="50"/>
      <c r="I70" s="51" t="s">
        <v>24</v>
      </c>
      <c r="J70" s="49"/>
      <c r="K70" s="48"/>
      <c r="L70" s="50"/>
      <c r="M70" s="49"/>
      <c r="N70" s="48"/>
      <c r="O70" s="50"/>
      <c r="P70" s="52"/>
      <c r="Q70" s="48"/>
      <c r="R70" s="51" t="s">
        <v>23</v>
      </c>
      <c r="S70" s="48"/>
      <c r="T70" s="53">
        <f t="shared" si="6"/>
      </c>
      <c r="U70" s="51" t="s">
        <v>23</v>
      </c>
      <c r="V70" s="54">
        <f t="shared" si="7"/>
      </c>
      <c r="X70" s="51" t="s">
        <v>44</v>
      </c>
      <c r="Y70" s="51" t="s">
        <v>44</v>
      </c>
      <c r="AA70" s="36" t="s">
        <v>46</v>
      </c>
      <c r="AB70" s="36" t="s">
        <v>122</v>
      </c>
    </row>
    <row r="71" spans="2:28" ht="12.75" hidden="1" outlineLevel="1">
      <c r="B71" s="55" t="s">
        <v>50</v>
      </c>
      <c r="C71" s="55"/>
      <c r="D71" s="55" t="s">
        <v>51</v>
      </c>
      <c r="E71" s="36">
        <v>1</v>
      </c>
      <c r="F71" s="56"/>
      <c r="G71" s="55"/>
      <c r="H71" s="43"/>
      <c r="I71" s="44" t="s">
        <v>24</v>
      </c>
      <c r="J71" s="56"/>
      <c r="K71" s="55"/>
      <c r="L71" s="43"/>
      <c r="M71" s="56"/>
      <c r="N71" s="55"/>
      <c r="O71" s="43"/>
      <c r="P71" s="57"/>
      <c r="Q71" s="36"/>
      <c r="R71" s="44" t="s">
        <v>23</v>
      </c>
      <c r="S71" s="36"/>
      <c r="T71" s="46">
        <f t="shared" si="6"/>
      </c>
      <c r="U71" s="44" t="s">
        <v>23</v>
      </c>
      <c r="V71" s="47">
        <f t="shared" si="7"/>
      </c>
      <c r="X71" s="44" t="s">
        <v>44</v>
      </c>
      <c r="Y71" s="44" t="s">
        <v>44</v>
      </c>
      <c r="AA71" s="36" t="s">
        <v>46</v>
      </c>
      <c r="AB71" s="36" t="s">
        <v>122</v>
      </c>
    </row>
    <row r="72" spans="2:28" ht="12.75" hidden="1" outlineLevel="1">
      <c r="B72" s="55" t="s">
        <v>25</v>
      </c>
      <c r="C72" s="55"/>
      <c r="D72" s="55" t="s">
        <v>52</v>
      </c>
      <c r="E72" s="36">
        <v>2</v>
      </c>
      <c r="F72" s="56"/>
      <c r="G72" s="55"/>
      <c r="H72" s="43"/>
      <c r="I72" s="44" t="s">
        <v>24</v>
      </c>
      <c r="J72" s="56"/>
      <c r="K72" s="55"/>
      <c r="L72" s="43"/>
      <c r="M72" s="56"/>
      <c r="N72" s="55"/>
      <c r="O72" s="43"/>
      <c r="P72" s="57"/>
      <c r="Q72" s="36"/>
      <c r="R72" s="44" t="s">
        <v>23</v>
      </c>
      <c r="S72" s="36"/>
      <c r="T72" s="46">
        <f t="shared" si="6"/>
      </c>
      <c r="U72" s="44" t="s">
        <v>23</v>
      </c>
      <c r="V72" s="47">
        <f t="shared" si="7"/>
      </c>
      <c r="X72" s="44" t="s">
        <v>44</v>
      </c>
      <c r="Y72" s="44" t="s">
        <v>44</v>
      </c>
      <c r="AA72" s="36" t="s">
        <v>46</v>
      </c>
      <c r="AB72" s="36" t="s">
        <v>122</v>
      </c>
    </row>
    <row r="73" spans="2:28" ht="12.75" hidden="1" outlineLevel="1">
      <c r="B73" s="55"/>
      <c r="C73" s="55"/>
      <c r="D73" s="55" t="s">
        <v>53</v>
      </c>
      <c r="E73" s="36">
        <v>3</v>
      </c>
      <c r="F73" s="56"/>
      <c r="G73" s="55"/>
      <c r="H73" s="43"/>
      <c r="I73" s="44" t="s">
        <v>24</v>
      </c>
      <c r="J73" s="56"/>
      <c r="K73" s="55"/>
      <c r="L73" s="43"/>
      <c r="M73" s="56"/>
      <c r="N73" s="55"/>
      <c r="O73" s="43"/>
      <c r="P73" s="57"/>
      <c r="Q73" s="36"/>
      <c r="R73" s="44" t="s">
        <v>23</v>
      </c>
      <c r="S73" s="36"/>
      <c r="T73" s="46">
        <f t="shared" si="6"/>
      </c>
      <c r="U73" s="44" t="s">
        <v>23</v>
      </c>
      <c r="V73" s="47">
        <f t="shared" si="7"/>
      </c>
      <c r="X73" s="44" t="s">
        <v>44</v>
      </c>
      <c r="Y73" s="44" t="s">
        <v>44</v>
      </c>
      <c r="AA73" s="36" t="s">
        <v>46</v>
      </c>
      <c r="AB73" s="36" t="s">
        <v>122</v>
      </c>
    </row>
    <row r="74" spans="2:28" ht="12.75" hidden="1" outlineLevel="1">
      <c r="B74" s="48"/>
      <c r="C74" s="48"/>
      <c r="D74" s="48" t="s">
        <v>54</v>
      </c>
      <c r="E74" s="48">
        <v>4</v>
      </c>
      <c r="F74" s="49"/>
      <c r="G74" s="48"/>
      <c r="H74" s="50"/>
      <c r="I74" s="51" t="s">
        <v>24</v>
      </c>
      <c r="J74" s="49"/>
      <c r="K74" s="48"/>
      <c r="L74" s="50"/>
      <c r="M74" s="49"/>
      <c r="N74" s="48"/>
      <c r="O74" s="50"/>
      <c r="P74" s="52"/>
      <c r="Q74" s="48"/>
      <c r="R74" s="51" t="s">
        <v>23</v>
      </c>
      <c r="S74" s="48"/>
      <c r="T74" s="53">
        <f t="shared" si="6"/>
      </c>
      <c r="U74" s="51" t="s">
        <v>23</v>
      </c>
      <c r="V74" s="54">
        <f t="shared" si="7"/>
      </c>
      <c r="X74" s="51" t="s">
        <v>44</v>
      </c>
      <c r="Y74" s="51" t="s">
        <v>44</v>
      </c>
      <c r="AA74" s="36" t="s">
        <v>46</v>
      </c>
      <c r="AB74" s="36" t="s">
        <v>122</v>
      </c>
    </row>
    <row r="75" spans="2:28" ht="12.75" hidden="1" outlineLevel="1">
      <c r="B75" s="55" t="s">
        <v>55</v>
      </c>
      <c r="C75" s="55"/>
      <c r="D75" s="55" t="s">
        <v>56</v>
      </c>
      <c r="E75" s="36">
        <v>1</v>
      </c>
      <c r="F75" s="56"/>
      <c r="G75" s="55"/>
      <c r="H75" s="43"/>
      <c r="I75" s="44" t="s">
        <v>24</v>
      </c>
      <c r="J75" s="56"/>
      <c r="K75" s="55"/>
      <c r="L75" s="43"/>
      <c r="M75" s="56"/>
      <c r="N75" s="55"/>
      <c r="O75" s="43"/>
      <c r="P75" s="57"/>
      <c r="Q75" s="36"/>
      <c r="R75" s="44" t="s">
        <v>23</v>
      </c>
      <c r="S75" s="36"/>
      <c r="T75" s="46">
        <f t="shared" si="6"/>
      </c>
      <c r="U75" s="44" t="s">
        <v>23</v>
      </c>
      <c r="V75" s="47">
        <f t="shared" si="7"/>
      </c>
      <c r="X75" s="44" t="s">
        <v>44</v>
      </c>
      <c r="Y75" s="44" t="s">
        <v>44</v>
      </c>
      <c r="AA75" s="36" t="s">
        <v>46</v>
      </c>
      <c r="AB75" s="36" t="s">
        <v>122</v>
      </c>
    </row>
    <row r="76" spans="2:28" ht="12.75" hidden="1" outlineLevel="1">
      <c r="B76" s="55" t="s">
        <v>25</v>
      </c>
      <c r="C76" s="55"/>
      <c r="D76" s="55" t="s">
        <v>57</v>
      </c>
      <c r="E76" s="36">
        <v>2</v>
      </c>
      <c r="F76" s="56"/>
      <c r="G76" s="55"/>
      <c r="H76" s="43"/>
      <c r="I76" s="44" t="s">
        <v>24</v>
      </c>
      <c r="J76" s="56"/>
      <c r="K76" s="55"/>
      <c r="L76" s="43"/>
      <c r="M76" s="56"/>
      <c r="N76" s="55"/>
      <c r="O76" s="43"/>
      <c r="P76" s="57"/>
      <c r="Q76" s="36"/>
      <c r="R76" s="44" t="s">
        <v>23</v>
      </c>
      <c r="S76" s="36"/>
      <c r="T76" s="46">
        <f t="shared" si="6"/>
      </c>
      <c r="U76" s="44" t="s">
        <v>23</v>
      </c>
      <c r="V76" s="47">
        <f t="shared" si="7"/>
      </c>
      <c r="X76" s="44" t="s">
        <v>44</v>
      </c>
      <c r="Y76" s="44" t="s">
        <v>44</v>
      </c>
      <c r="AA76" s="36" t="s">
        <v>46</v>
      </c>
      <c r="AB76" s="36" t="s">
        <v>122</v>
      </c>
    </row>
    <row r="77" spans="2:28" ht="12.75" hidden="1" outlineLevel="1">
      <c r="B77" s="55"/>
      <c r="C77" s="55"/>
      <c r="D77" s="55" t="s">
        <v>58</v>
      </c>
      <c r="E77" s="36">
        <v>3</v>
      </c>
      <c r="F77" s="56"/>
      <c r="G77" s="55"/>
      <c r="H77" s="43"/>
      <c r="I77" s="44" t="s">
        <v>24</v>
      </c>
      <c r="J77" s="56"/>
      <c r="K77" s="55"/>
      <c r="L77" s="43"/>
      <c r="M77" s="56"/>
      <c r="N77" s="55"/>
      <c r="O77" s="43"/>
      <c r="P77" s="57"/>
      <c r="Q77" s="36"/>
      <c r="R77" s="44" t="s">
        <v>23</v>
      </c>
      <c r="S77" s="36"/>
      <c r="T77" s="46">
        <f t="shared" si="6"/>
      </c>
      <c r="U77" s="44" t="s">
        <v>23</v>
      </c>
      <c r="V77" s="47">
        <f t="shared" si="7"/>
      </c>
      <c r="X77" s="44" t="s">
        <v>44</v>
      </c>
      <c r="Y77" s="44" t="s">
        <v>44</v>
      </c>
      <c r="AA77" s="36" t="s">
        <v>46</v>
      </c>
      <c r="AB77" s="36" t="s">
        <v>122</v>
      </c>
    </row>
    <row r="78" spans="2:28" ht="12.75" hidden="1" outlineLevel="1">
      <c r="B78" s="48"/>
      <c r="C78" s="48"/>
      <c r="D78" s="48" t="s">
        <v>59</v>
      </c>
      <c r="E78" s="48">
        <v>4</v>
      </c>
      <c r="F78" s="49"/>
      <c r="G78" s="48"/>
      <c r="H78" s="50"/>
      <c r="I78" s="51" t="s">
        <v>24</v>
      </c>
      <c r="J78" s="49"/>
      <c r="K78" s="48"/>
      <c r="L78" s="50"/>
      <c r="M78" s="49"/>
      <c r="N78" s="48"/>
      <c r="O78" s="50"/>
      <c r="P78" s="52"/>
      <c r="Q78" s="48"/>
      <c r="R78" s="51" t="s">
        <v>23</v>
      </c>
      <c r="S78" s="48"/>
      <c r="T78" s="53">
        <f t="shared" si="6"/>
      </c>
      <c r="U78" s="51" t="s">
        <v>23</v>
      </c>
      <c r="V78" s="54">
        <f t="shared" si="7"/>
      </c>
      <c r="X78" s="51" t="s">
        <v>44</v>
      </c>
      <c r="Y78" s="51" t="s">
        <v>44</v>
      </c>
      <c r="AA78" s="36" t="s">
        <v>46</v>
      </c>
      <c r="AB78" s="36" t="s">
        <v>122</v>
      </c>
    </row>
    <row r="79" spans="2:29" ht="12.75" collapsed="1">
      <c r="B79" s="36">
        <f>+B59+1</f>
        <v>11</v>
      </c>
      <c r="C79" s="41">
        <f>+Daten!N15</f>
        <v>0.5833333333333334</v>
      </c>
      <c r="D79" s="36">
        <f>+D62+1</f>
        <v>41</v>
      </c>
      <c r="E79" s="36">
        <v>1</v>
      </c>
      <c r="F79" s="42" t="s">
        <v>18</v>
      </c>
      <c r="G79" s="36">
        <v>1</v>
      </c>
      <c r="H79" s="43" t="str">
        <f ca="1" t="shared" si="8" ref="H79:H87">INDIRECT(ADDRESS(MATCH(G79,$A$1:$A$20,0),MATCH(F79,$A$6:$AE$6,0)))</f>
        <v>TV Hochneukirch</v>
      </c>
      <c r="I79" s="44" t="s">
        <v>24</v>
      </c>
      <c r="J79" s="42" t="s">
        <v>18</v>
      </c>
      <c r="K79" s="36">
        <v>2</v>
      </c>
      <c r="L79" s="43" t="str">
        <f ca="1" t="shared" si="9" ref="L79:L87">INDIRECT(ADDRESS(MATCH(K79,$A$1:$A$20,0),MATCH(J79,$A$6:$AE$6,0)))</f>
        <v>TV Zeilhard</v>
      </c>
      <c r="M79" s="42" t="s">
        <v>18</v>
      </c>
      <c r="N79" s="36">
        <v>3</v>
      </c>
      <c r="O79" s="43" t="str">
        <f ca="1" t="shared" si="10" ref="O79:O87">INDIRECT(ADDRESS(MATCH(N79,$A$1:$A$20,0),MATCH(M79,$A$6:$AE$6,0)))</f>
        <v>TSV Babenhausen</v>
      </c>
      <c r="P79" s="45"/>
      <c r="Q79" s="36">
        <v>36</v>
      </c>
      <c r="R79" s="44" t="s">
        <v>23</v>
      </c>
      <c r="S79" s="36">
        <v>33</v>
      </c>
      <c r="T79" s="46">
        <f t="shared" si="6"/>
        <v>2</v>
      </c>
      <c r="U79" s="44" t="s">
        <v>23</v>
      </c>
      <c r="V79" s="47">
        <f t="shared" si="7"/>
        <v>0</v>
      </c>
      <c r="X79" s="44" t="s">
        <v>44</v>
      </c>
      <c r="Y79" s="44" t="s">
        <v>44</v>
      </c>
      <c r="AA79" s="36" t="s">
        <v>60</v>
      </c>
      <c r="AB79" s="36" t="s">
        <v>20</v>
      </c>
      <c r="AC79" s="28">
        <v>1</v>
      </c>
    </row>
    <row r="80" spans="2:29" ht="12.75">
      <c r="B80" s="36"/>
      <c r="C80" s="36"/>
      <c r="D80" s="36">
        <f aca="true" t="shared" si="11" ref="D80:D87">+D79+1</f>
        <v>42</v>
      </c>
      <c r="E80" s="36">
        <v>2</v>
      </c>
      <c r="F80" s="42" t="s">
        <v>18</v>
      </c>
      <c r="G80" s="36">
        <v>11</v>
      </c>
      <c r="H80" s="43" t="str">
        <f ca="1" t="shared" si="8"/>
        <v>TV Berkenbaum </v>
      </c>
      <c r="I80" s="44" t="s">
        <v>24</v>
      </c>
      <c r="J80" s="42" t="s">
        <v>18</v>
      </c>
      <c r="K80" s="36">
        <v>12</v>
      </c>
      <c r="L80" s="43" t="str">
        <f ca="1" t="shared" si="9"/>
        <v>TV Hemer </v>
      </c>
      <c r="M80" s="42" t="s">
        <v>18</v>
      </c>
      <c r="N80" s="36">
        <v>13</v>
      </c>
      <c r="O80" s="43" t="str">
        <f ca="1" t="shared" si="10"/>
        <v>MTV Markoldendorf</v>
      </c>
      <c r="P80" s="45"/>
      <c r="Q80" s="36">
        <v>28</v>
      </c>
      <c r="R80" s="44" t="s">
        <v>23</v>
      </c>
      <c r="S80" s="36">
        <v>39</v>
      </c>
      <c r="T80" s="46">
        <f t="shared" si="6"/>
        <v>0</v>
      </c>
      <c r="U80" s="44" t="s">
        <v>23</v>
      </c>
      <c r="V80" s="47">
        <f t="shared" si="7"/>
        <v>2</v>
      </c>
      <c r="X80" s="44" t="s">
        <v>44</v>
      </c>
      <c r="Y80" s="44" t="s">
        <v>44</v>
      </c>
      <c r="AA80" s="36" t="s">
        <v>60</v>
      </c>
      <c r="AB80" s="36" t="s">
        <v>20</v>
      </c>
      <c r="AC80" s="28">
        <v>1</v>
      </c>
    </row>
    <row r="81" spans="2:29" ht="12.75">
      <c r="B81" s="36"/>
      <c r="C81" s="36"/>
      <c r="D81" s="36">
        <f t="shared" si="11"/>
        <v>43</v>
      </c>
      <c r="E81" s="36">
        <v>3</v>
      </c>
      <c r="F81" s="42" t="s">
        <v>19</v>
      </c>
      <c r="G81" s="36">
        <v>1</v>
      </c>
      <c r="H81" s="43" t="str">
        <f ca="1" t="shared" si="8"/>
        <v>TV Zeilhard</v>
      </c>
      <c r="I81" s="44" t="s">
        <v>24</v>
      </c>
      <c r="J81" s="42" t="s">
        <v>19</v>
      </c>
      <c r="K81" s="36">
        <v>2</v>
      </c>
      <c r="L81" s="43" t="str">
        <f ca="1" t="shared" si="9"/>
        <v>TV Kierdorf</v>
      </c>
      <c r="M81" s="42" t="s">
        <v>19</v>
      </c>
      <c r="N81" s="36">
        <v>3</v>
      </c>
      <c r="O81" s="43" t="str">
        <f ca="1" t="shared" si="10"/>
        <v>SV Weiler</v>
      </c>
      <c r="P81" s="45"/>
      <c r="Q81" s="36">
        <v>38</v>
      </c>
      <c r="R81" s="44" t="s">
        <v>23</v>
      </c>
      <c r="S81" s="36">
        <v>39</v>
      </c>
      <c r="T81" s="46">
        <f t="shared" si="6"/>
        <v>0</v>
      </c>
      <c r="U81" s="44" t="s">
        <v>23</v>
      </c>
      <c r="V81" s="47">
        <f t="shared" si="7"/>
        <v>2</v>
      </c>
      <c r="X81" s="44" t="s">
        <v>44</v>
      </c>
      <c r="Y81" s="44" t="s">
        <v>44</v>
      </c>
      <c r="AA81" s="36" t="s">
        <v>60</v>
      </c>
      <c r="AB81" s="36" t="s">
        <v>20</v>
      </c>
      <c r="AC81" s="28">
        <v>2</v>
      </c>
    </row>
    <row r="82" spans="2:29" ht="12.75">
      <c r="B82" s="48"/>
      <c r="C82" s="48"/>
      <c r="D82" s="48">
        <f t="shared" si="11"/>
        <v>44</v>
      </c>
      <c r="E82" s="48">
        <v>4</v>
      </c>
      <c r="F82" s="49" t="s">
        <v>19</v>
      </c>
      <c r="G82" s="48">
        <v>11</v>
      </c>
      <c r="H82" s="50" t="str">
        <f ca="1" t="shared" si="8"/>
        <v>Linden Dahlhauser TV</v>
      </c>
      <c r="I82" s="51" t="s">
        <v>24</v>
      </c>
      <c r="J82" s="49" t="s">
        <v>19</v>
      </c>
      <c r="K82" s="48">
        <v>12</v>
      </c>
      <c r="L82" s="50" t="str">
        <f ca="1" t="shared" si="9"/>
        <v>TV Berkenbaum</v>
      </c>
      <c r="M82" s="49" t="s">
        <v>19</v>
      </c>
      <c r="N82" s="48">
        <v>13</v>
      </c>
      <c r="O82" s="50" t="str">
        <f ca="1" t="shared" si="10"/>
        <v>TSV Burgdorf</v>
      </c>
      <c r="P82" s="52"/>
      <c r="Q82" s="48">
        <v>40</v>
      </c>
      <c r="R82" s="51" t="s">
        <v>23</v>
      </c>
      <c r="S82" s="48">
        <v>52</v>
      </c>
      <c r="T82" s="53">
        <f t="shared" si="6"/>
        <v>0</v>
      </c>
      <c r="U82" s="51" t="s">
        <v>23</v>
      </c>
      <c r="V82" s="54">
        <f t="shared" si="7"/>
        <v>2</v>
      </c>
      <c r="X82" s="51" t="s">
        <v>44</v>
      </c>
      <c r="Y82" s="51" t="s">
        <v>44</v>
      </c>
      <c r="AA82" s="36" t="s">
        <v>60</v>
      </c>
      <c r="AB82" s="36" t="s">
        <v>20</v>
      </c>
      <c r="AC82" s="28">
        <v>2</v>
      </c>
    </row>
    <row r="83" spans="2:29" ht="12.75">
      <c r="B83" s="36">
        <f>+B79+1</f>
        <v>12</v>
      </c>
      <c r="C83" s="41">
        <f>+Daten!N16</f>
        <v>0.6006944444444445</v>
      </c>
      <c r="D83" s="36">
        <f t="shared" si="11"/>
        <v>45</v>
      </c>
      <c r="E83" s="36">
        <v>1</v>
      </c>
      <c r="F83" s="42" t="s">
        <v>18</v>
      </c>
      <c r="G83" s="36">
        <v>3</v>
      </c>
      <c r="H83" s="43" t="str">
        <f ca="1" t="shared" si="8"/>
        <v>TSV Babenhausen</v>
      </c>
      <c r="I83" s="44" t="s">
        <v>24</v>
      </c>
      <c r="J83" s="42" t="s">
        <v>18</v>
      </c>
      <c r="K83" s="36">
        <v>4</v>
      </c>
      <c r="L83" s="43" t="str">
        <f ca="1" t="shared" si="9"/>
        <v>TV Freiburg St. Georgen</v>
      </c>
      <c r="M83" s="42" t="s">
        <v>18</v>
      </c>
      <c r="N83" s="36">
        <v>5</v>
      </c>
      <c r="O83" s="43" t="str">
        <f ca="1" t="shared" si="10"/>
        <v>Vegesacker TV</v>
      </c>
      <c r="P83" s="45"/>
      <c r="Q83" s="36">
        <v>38</v>
      </c>
      <c r="R83" s="44" t="s">
        <v>23</v>
      </c>
      <c r="S83" s="36">
        <v>40</v>
      </c>
      <c r="T83" s="46">
        <f t="shared" si="6"/>
        <v>0</v>
      </c>
      <c r="U83" s="44" t="s">
        <v>23</v>
      </c>
      <c r="V83" s="47">
        <f t="shared" si="7"/>
        <v>2</v>
      </c>
      <c r="X83" s="44" t="s">
        <v>44</v>
      </c>
      <c r="Y83" s="44" t="s">
        <v>44</v>
      </c>
      <c r="AA83" s="36" t="s">
        <v>60</v>
      </c>
      <c r="AB83" s="36" t="s">
        <v>20</v>
      </c>
      <c r="AC83" s="28">
        <v>3</v>
      </c>
    </row>
    <row r="84" spans="2:29" ht="12.75">
      <c r="B84" s="36"/>
      <c r="C84" s="36"/>
      <c r="D84" s="36">
        <f t="shared" si="11"/>
        <v>46</v>
      </c>
      <c r="E84" s="36">
        <v>2</v>
      </c>
      <c r="F84" s="42" t="s">
        <v>18</v>
      </c>
      <c r="G84" s="36">
        <v>13</v>
      </c>
      <c r="H84" s="43" t="str">
        <f ca="1" t="shared" si="8"/>
        <v>MTV Markoldendorf</v>
      </c>
      <c r="I84" s="44" t="s">
        <v>24</v>
      </c>
      <c r="J84" s="42" t="s">
        <v>18</v>
      </c>
      <c r="K84" s="36">
        <v>14</v>
      </c>
      <c r="L84" s="43" t="str">
        <f ca="1" t="shared" si="9"/>
        <v>TSV Marienfelde</v>
      </c>
      <c r="M84" s="42" t="s">
        <v>18</v>
      </c>
      <c r="N84" s="36">
        <v>15</v>
      </c>
      <c r="O84" s="43" t="str">
        <f ca="1" t="shared" si="10"/>
        <v>VfL Waiblingen</v>
      </c>
      <c r="P84" s="45"/>
      <c r="Q84" s="36">
        <v>37</v>
      </c>
      <c r="R84" s="44" t="s">
        <v>23</v>
      </c>
      <c r="S84" s="36">
        <v>36</v>
      </c>
      <c r="T84" s="46">
        <f t="shared" si="6"/>
        <v>2</v>
      </c>
      <c r="U84" s="44" t="s">
        <v>23</v>
      </c>
      <c r="V84" s="47">
        <f t="shared" si="7"/>
        <v>0</v>
      </c>
      <c r="X84" s="44" t="s">
        <v>44</v>
      </c>
      <c r="Y84" s="44" t="s">
        <v>44</v>
      </c>
      <c r="AA84" s="36" t="s">
        <v>60</v>
      </c>
      <c r="AB84" s="36" t="s">
        <v>20</v>
      </c>
      <c r="AC84" s="28">
        <v>3</v>
      </c>
    </row>
    <row r="85" spans="2:29" ht="12.75">
      <c r="B85" s="36"/>
      <c r="C85" s="36"/>
      <c r="D85" s="36">
        <f t="shared" si="11"/>
        <v>47</v>
      </c>
      <c r="E85" s="36">
        <v>3</v>
      </c>
      <c r="F85" s="42" t="s">
        <v>19</v>
      </c>
      <c r="G85" s="36">
        <v>3</v>
      </c>
      <c r="H85" s="43" t="str">
        <f ca="1" t="shared" si="8"/>
        <v>SV Weiler</v>
      </c>
      <c r="I85" s="44" t="s">
        <v>24</v>
      </c>
      <c r="J85" s="42" t="s">
        <v>19</v>
      </c>
      <c r="K85" s="36">
        <v>4</v>
      </c>
      <c r="L85" s="43" t="str">
        <f ca="1" t="shared" si="9"/>
        <v>TV Huchenfeld</v>
      </c>
      <c r="M85" s="42" t="s">
        <v>19</v>
      </c>
      <c r="N85" s="36">
        <v>5</v>
      </c>
      <c r="O85" s="43" t="str">
        <f ca="1" t="shared" si="10"/>
        <v>TuS Aschen-Strang</v>
      </c>
      <c r="P85" s="45"/>
      <c r="Q85" s="36">
        <v>38</v>
      </c>
      <c r="R85" s="44" t="s">
        <v>23</v>
      </c>
      <c r="S85" s="36">
        <v>53</v>
      </c>
      <c r="T85" s="46">
        <f t="shared" si="6"/>
        <v>0</v>
      </c>
      <c r="U85" s="44" t="s">
        <v>23</v>
      </c>
      <c r="V85" s="47">
        <f t="shared" si="7"/>
        <v>2</v>
      </c>
      <c r="X85" s="44" t="s">
        <v>44</v>
      </c>
      <c r="Y85" s="44" t="s">
        <v>44</v>
      </c>
      <c r="AA85" s="36" t="s">
        <v>60</v>
      </c>
      <c r="AB85" s="36" t="s">
        <v>20</v>
      </c>
      <c r="AC85" s="28">
        <v>4</v>
      </c>
    </row>
    <row r="86" spans="2:29" ht="12.75">
      <c r="B86" s="48"/>
      <c r="C86" s="48"/>
      <c r="D86" s="48">
        <f t="shared" si="11"/>
        <v>48</v>
      </c>
      <c r="E86" s="48">
        <v>4</v>
      </c>
      <c r="F86" s="49" t="s">
        <v>19</v>
      </c>
      <c r="G86" s="48">
        <v>13</v>
      </c>
      <c r="H86" s="50" t="str">
        <f ca="1" t="shared" si="8"/>
        <v>TSV Burgdorf</v>
      </c>
      <c r="I86" s="51" t="s">
        <v>24</v>
      </c>
      <c r="J86" s="49" t="s">
        <v>19</v>
      </c>
      <c r="K86" s="48">
        <v>14</v>
      </c>
      <c r="L86" s="50" t="str">
        <f ca="1" t="shared" si="9"/>
        <v>MTV Jahn Schladen</v>
      </c>
      <c r="M86" s="49" t="s">
        <v>19</v>
      </c>
      <c r="N86" s="48">
        <v>15</v>
      </c>
      <c r="O86" s="50" t="str">
        <f ca="1" t="shared" si="10"/>
        <v>VfL Waiblingen</v>
      </c>
      <c r="P86" s="52"/>
      <c r="Q86" s="48">
        <v>37</v>
      </c>
      <c r="R86" s="51" t="s">
        <v>23</v>
      </c>
      <c r="S86" s="48">
        <v>41</v>
      </c>
      <c r="T86" s="53">
        <f t="shared" si="6"/>
        <v>0</v>
      </c>
      <c r="U86" s="51" t="s">
        <v>23</v>
      </c>
      <c r="V86" s="54">
        <f t="shared" si="7"/>
        <v>2</v>
      </c>
      <c r="X86" s="51" t="s">
        <v>44</v>
      </c>
      <c r="Y86" s="51" t="s">
        <v>44</v>
      </c>
      <c r="AA86" s="36" t="s">
        <v>60</v>
      </c>
      <c r="AB86" s="36" t="s">
        <v>20</v>
      </c>
      <c r="AC86" s="28">
        <v>4</v>
      </c>
    </row>
    <row r="87" spans="2:29" ht="12.75">
      <c r="B87" s="36">
        <f>+B83+1</f>
        <v>13</v>
      </c>
      <c r="C87" s="41">
        <f>+Daten!N17</f>
        <v>0.6180555555555557</v>
      </c>
      <c r="D87" s="36">
        <f t="shared" si="11"/>
        <v>49</v>
      </c>
      <c r="E87" s="36">
        <v>1</v>
      </c>
      <c r="F87" s="42" t="s">
        <v>18</v>
      </c>
      <c r="G87" s="36">
        <v>2</v>
      </c>
      <c r="H87" s="43" t="str">
        <f ca="1" t="shared" si="8"/>
        <v>TV Zeilhard</v>
      </c>
      <c r="I87" s="44" t="s">
        <v>24</v>
      </c>
      <c r="J87" s="42" t="s">
        <v>18</v>
      </c>
      <c r="K87" s="36">
        <v>5</v>
      </c>
      <c r="L87" s="43" t="str">
        <f ca="1" t="shared" si="9"/>
        <v>Vegesacker TV</v>
      </c>
      <c r="M87" s="42" t="s">
        <v>18</v>
      </c>
      <c r="N87" s="36">
        <v>1</v>
      </c>
      <c r="O87" s="43" t="str">
        <f ca="1" t="shared" si="10"/>
        <v>TV Hochneukirch</v>
      </c>
      <c r="P87" s="45"/>
      <c r="Q87" s="36">
        <v>31</v>
      </c>
      <c r="R87" s="44" t="s">
        <v>23</v>
      </c>
      <c r="S87" s="36">
        <v>42</v>
      </c>
      <c r="T87" s="46">
        <f aca="true" t="shared" si="12" ref="T87:T119">IF(Q87="","",IF(Q87&gt;S87,2,IF(Q87&lt;S87,0,1)))</f>
        <v>0</v>
      </c>
      <c r="U87" s="44" t="s">
        <v>23</v>
      </c>
      <c r="V87" s="47">
        <f aca="true" t="shared" si="13" ref="V87:V119">IF(S87="","",IF(S87&gt;Q87,2,IF(S87&lt;Q87,0,1)))</f>
        <v>2</v>
      </c>
      <c r="X87" s="44" t="s">
        <v>44</v>
      </c>
      <c r="Y87" s="44" t="s">
        <v>44</v>
      </c>
      <c r="AA87" s="36" t="s">
        <v>60</v>
      </c>
      <c r="AB87" s="36" t="s">
        <v>20</v>
      </c>
      <c r="AC87" s="28">
        <v>5</v>
      </c>
    </row>
    <row r="88" spans="2:29" ht="12.75">
      <c r="B88" s="36"/>
      <c r="C88" s="36"/>
      <c r="D88" s="36">
        <f aca="true" t="shared" si="14" ref="D88:D103">+D87+1</f>
        <v>50</v>
      </c>
      <c r="E88" s="36">
        <v>2</v>
      </c>
      <c r="F88" s="42" t="s">
        <v>18</v>
      </c>
      <c r="G88" s="36">
        <v>11</v>
      </c>
      <c r="H88" s="43" t="str">
        <f ca="1" t="shared" si="15" ref="H88:H103">INDIRECT(ADDRESS(MATCH(G88,$A$1:$A$20,0),MATCH(F88,$A$6:$AE$6,0)))</f>
        <v>TV Berkenbaum </v>
      </c>
      <c r="I88" s="44" t="s">
        <v>24</v>
      </c>
      <c r="J88" s="42" t="s">
        <v>18</v>
      </c>
      <c r="K88" s="36">
        <v>15</v>
      </c>
      <c r="L88" s="43" t="str">
        <f ca="1" t="shared" si="16" ref="L88:L103">INDIRECT(ADDRESS(MATCH(K88,$A$1:$A$20,0),MATCH(J88,$A$6:$AE$6,0)))</f>
        <v>VfL Waiblingen</v>
      </c>
      <c r="M88" s="42" t="s">
        <v>18</v>
      </c>
      <c r="N88" s="36">
        <v>12</v>
      </c>
      <c r="O88" s="43" t="str">
        <f ca="1" t="shared" si="17" ref="O88:O103">INDIRECT(ADDRESS(MATCH(N88,$A$1:$A$20,0),MATCH(M88,$A$6:$AE$6,0)))</f>
        <v>TV Hemer </v>
      </c>
      <c r="P88" s="45"/>
      <c r="Q88" s="36">
        <v>38</v>
      </c>
      <c r="R88" s="44" t="s">
        <v>23</v>
      </c>
      <c r="S88" s="36">
        <v>39</v>
      </c>
      <c r="T88" s="46">
        <f t="shared" si="12"/>
        <v>0</v>
      </c>
      <c r="U88" s="44" t="s">
        <v>23</v>
      </c>
      <c r="V88" s="47">
        <f t="shared" si="13"/>
        <v>2</v>
      </c>
      <c r="X88" s="44" t="s">
        <v>44</v>
      </c>
      <c r="Y88" s="44" t="s">
        <v>44</v>
      </c>
      <c r="AA88" s="36" t="s">
        <v>60</v>
      </c>
      <c r="AB88" s="36" t="s">
        <v>20</v>
      </c>
      <c r="AC88" s="28">
        <v>5</v>
      </c>
    </row>
    <row r="89" spans="2:29" ht="12.75">
      <c r="B89" s="36"/>
      <c r="C89" s="36"/>
      <c r="D89" s="36">
        <f t="shared" si="14"/>
        <v>51</v>
      </c>
      <c r="E89" s="36">
        <v>3</v>
      </c>
      <c r="F89" s="42" t="s">
        <v>19</v>
      </c>
      <c r="G89" s="36">
        <v>2</v>
      </c>
      <c r="H89" s="43" t="str">
        <f ca="1" t="shared" si="15"/>
        <v>TV Kierdorf</v>
      </c>
      <c r="I89" s="44" t="s">
        <v>24</v>
      </c>
      <c r="J89" s="42" t="s">
        <v>19</v>
      </c>
      <c r="K89" s="36">
        <v>5</v>
      </c>
      <c r="L89" s="43" t="str">
        <f ca="1" t="shared" si="16"/>
        <v>TuS Aschen-Strang</v>
      </c>
      <c r="M89" s="42" t="s">
        <v>19</v>
      </c>
      <c r="N89" s="36">
        <v>1</v>
      </c>
      <c r="O89" s="43" t="str">
        <f ca="1" t="shared" si="17"/>
        <v>TV Zeilhard</v>
      </c>
      <c r="P89" s="45"/>
      <c r="Q89" s="36">
        <v>33</v>
      </c>
      <c r="R89" s="44" t="s">
        <v>23</v>
      </c>
      <c r="S89" s="36">
        <v>32</v>
      </c>
      <c r="T89" s="46">
        <f t="shared" si="12"/>
        <v>2</v>
      </c>
      <c r="U89" s="44" t="s">
        <v>23</v>
      </c>
      <c r="V89" s="47">
        <f t="shared" si="13"/>
        <v>0</v>
      </c>
      <c r="X89" s="44" t="s">
        <v>44</v>
      </c>
      <c r="Y89" s="44" t="s">
        <v>44</v>
      </c>
      <c r="AA89" s="36" t="s">
        <v>60</v>
      </c>
      <c r="AB89" s="36" t="s">
        <v>20</v>
      </c>
      <c r="AC89" s="28">
        <v>6</v>
      </c>
    </row>
    <row r="90" spans="2:29" ht="12.75">
      <c r="B90" s="48"/>
      <c r="C90" s="48"/>
      <c r="D90" s="48">
        <f t="shared" si="14"/>
        <v>52</v>
      </c>
      <c r="E90" s="48">
        <v>4</v>
      </c>
      <c r="F90" s="49" t="s">
        <v>19</v>
      </c>
      <c r="G90" s="48">
        <v>11</v>
      </c>
      <c r="H90" s="50" t="str">
        <f ca="1" t="shared" si="15"/>
        <v>Linden Dahlhauser TV</v>
      </c>
      <c r="I90" s="51" t="s">
        <v>24</v>
      </c>
      <c r="J90" s="49" t="s">
        <v>19</v>
      </c>
      <c r="K90" s="48">
        <v>15</v>
      </c>
      <c r="L90" s="50" t="str">
        <f ca="1" t="shared" si="16"/>
        <v>VfL Waiblingen</v>
      </c>
      <c r="M90" s="49" t="s">
        <v>19</v>
      </c>
      <c r="N90" s="48">
        <v>12</v>
      </c>
      <c r="O90" s="50" t="str">
        <f ca="1" t="shared" si="17"/>
        <v>TV Berkenbaum</v>
      </c>
      <c r="P90" s="52"/>
      <c r="Q90" s="48">
        <v>47</v>
      </c>
      <c r="R90" s="51" t="s">
        <v>23</v>
      </c>
      <c r="S90" s="48">
        <v>36</v>
      </c>
      <c r="T90" s="53">
        <f t="shared" si="12"/>
        <v>2</v>
      </c>
      <c r="U90" s="51" t="s">
        <v>23</v>
      </c>
      <c r="V90" s="54">
        <f t="shared" si="13"/>
        <v>0</v>
      </c>
      <c r="X90" s="51" t="s">
        <v>44</v>
      </c>
      <c r="Y90" s="51" t="s">
        <v>44</v>
      </c>
      <c r="AA90" s="36" t="s">
        <v>60</v>
      </c>
      <c r="AB90" s="36" t="s">
        <v>20</v>
      </c>
      <c r="AC90" s="28">
        <v>6</v>
      </c>
    </row>
    <row r="91" spans="2:29" ht="12.75">
      <c r="B91" s="36">
        <f>+B87+1</f>
        <v>14</v>
      </c>
      <c r="C91" s="41">
        <f>+Daten!N18</f>
        <v>0.6354166666666669</v>
      </c>
      <c r="D91" s="36">
        <f t="shared" si="14"/>
        <v>53</v>
      </c>
      <c r="E91" s="36">
        <v>1</v>
      </c>
      <c r="F91" s="42" t="s">
        <v>18</v>
      </c>
      <c r="G91" s="36">
        <v>1</v>
      </c>
      <c r="H91" s="43" t="str">
        <f ca="1" t="shared" si="15"/>
        <v>TV Hochneukirch</v>
      </c>
      <c r="I91" s="44" t="s">
        <v>24</v>
      </c>
      <c r="J91" s="42" t="s">
        <v>18</v>
      </c>
      <c r="K91" s="36">
        <v>3</v>
      </c>
      <c r="L91" s="43" t="str">
        <f ca="1" t="shared" si="16"/>
        <v>TSV Babenhausen</v>
      </c>
      <c r="M91" s="42" t="s">
        <v>18</v>
      </c>
      <c r="N91" s="36">
        <v>4</v>
      </c>
      <c r="O91" s="43" t="str">
        <f ca="1" t="shared" si="17"/>
        <v>TV Freiburg St. Georgen</v>
      </c>
      <c r="P91" s="45"/>
      <c r="Q91" s="36">
        <v>38</v>
      </c>
      <c r="R91" s="44" t="s">
        <v>23</v>
      </c>
      <c r="S91" s="36">
        <v>34</v>
      </c>
      <c r="T91" s="46">
        <f t="shared" si="12"/>
        <v>2</v>
      </c>
      <c r="U91" s="44" t="s">
        <v>23</v>
      </c>
      <c r="V91" s="47">
        <f t="shared" si="13"/>
        <v>0</v>
      </c>
      <c r="X91" s="44" t="s">
        <v>44</v>
      </c>
      <c r="Y91" s="44" t="s">
        <v>44</v>
      </c>
      <c r="AA91" s="36" t="s">
        <v>60</v>
      </c>
      <c r="AB91" s="36" t="s">
        <v>20</v>
      </c>
      <c r="AC91" s="28">
        <v>7</v>
      </c>
    </row>
    <row r="92" spans="2:29" ht="12.75">
      <c r="B92" s="36"/>
      <c r="C92" s="36"/>
      <c r="D92" s="36">
        <f t="shared" si="14"/>
        <v>54</v>
      </c>
      <c r="E92" s="36">
        <v>2</v>
      </c>
      <c r="F92" s="42" t="s">
        <v>18</v>
      </c>
      <c r="G92" s="36">
        <v>12</v>
      </c>
      <c r="H92" s="43" t="str">
        <f ca="1" t="shared" si="15"/>
        <v>TV Hemer </v>
      </c>
      <c r="I92" s="44" t="s">
        <v>24</v>
      </c>
      <c r="J92" s="42" t="s">
        <v>18</v>
      </c>
      <c r="K92" s="36">
        <v>13</v>
      </c>
      <c r="L92" s="43" t="str">
        <f ca="1" t="shared" si="16"/>
        <v>MTV Markoldendorf</v>
      </c>
      <c r="M92" s="42" t="s">
        <v>18</v>
      </c>
      <c r="N92" s="36">
        <v>14</v>
      </c>
      <c r="O92" s="43" t="str">
        <f ca="1" t="shared" si="17"/>
        <v>TSV Marienfelde</v>
      </c>
      <c r="P92" s="45"/>
      <c r="Q92" s="36">
        <v>33</v>
      </c>
      <c r="R92" s="44" t="s">
        <v>23</v>
      </c>
      <c r="S92" s="36">
        <v>37</v>
      </c>
      <c r="T92" s="46">
        <f t="shared" si="12"/>
        <v>0</v>
      </c>
      <c r="U92" s="44" t="s">
        <v>23</v>
      </c>
      <c r="V92" s="47">
        <f t="shared" si="13"/>
        <v>2</v>
      </c>
      <c r="X92" s="44" t="s">
        <v>44</v>
      </c>
      <c r="Y92" s="44" t="s">
        <v>44</v>
      </c>
      <c r="AA92" s="36" t="s">
        <v>60</v>
      </c>
      <c r="AB92" s="36" t="s">
        <v>20</v>
      </c>
      <c r="AC92" s="28">
        <v>7</v>
      </c>
    </row>
    <row r="93" spans="2:29" ht="12.75">
      <c r="B93" s="36"/>
      <c r="C93" s="36"/>
      <c r="D93" s="36">
        <f t="shared" si="14"/>
        <v>55</v>
      </c>
      <c r="E93" s="36">
        <v>3</v>
      </c>
      <c r="F93" s="42" t="s">
        <v>19</v>
      </c>
      <c r="G93" s="36">
        <v>1</v>
      </c>
      <c r="H93" s="43" t="str">
        <f ca="1" t="shared" si="15"/>
        <v>TV Zeilhard</v>
      </c>
      <c r="I93" s="44" t="s">
        <v>24</v>
      </c>
      <c r="J93" s="42" t="s">
        <v>19</v>
      </c>
      <c r="K93" s="36">
        <v>3</v>
      </c>
      <c r="L93" s="43" t="str">
        <f ca="1" t="shared" si="16"/>
        <v>SV Weiler</v>
      </c>
      <c r="M93" s="42" t="s">
        <v>19</v>
      </c>
      <c r="N93" s="36">
        <v>4</v>
      </c>
      <c r="O93" s="43" t="str">
        <f ca="1" t="shared" si="17"/>
        <v>TV Huchenfeld</v>
      </c>
      <c r="P93" s="45"/>
      <c r="Q93" s="36">
        <v>52</v>
      </c>
      <c r="R93" s="44" t="s">
        <v>23</v>
      </c>
      <c r="S93" s="36">
        <v>31</v>
      </c>
      <c r="T93" s="46">
        <f t="shared" si="12"/>
        <v>2</v>
      </c>
      <c r="U93" s="44" t="s">
        <v>23</v>
      </c>
      <c r="V93" s="47">
        <f t="shared" si="13"/>
        <v>0</v>
      </c>
      <c r="X93" s="44" t="s">
        <v>44</v>
      </c>
      <c r="Y93" s="44" t="s">
        <v>44</v>
      </c>
      <c r="AA93" s="36" t="s">
        <v>60</v>
      </c>
      <c r="AB93" s="36" t="s">
        <v>20</v>
      </c>
      <c r="AC93" s="28">
        <v>8</v>
      </c>
    </row>
    <row r="94" spans="2:29" ht="12.75">
      <c r="B94" s="48"/>
      <c r="C94" s="48"/>
      <c r="D94" s="48">
        <f t="shared" si="14"/>
        <v>56</v>
      </c>
      <c r="E94" s="48">
        <v>4</v>
      </c>
      <c r="F94" s="49" t="s">
        <v>19</v>
      </c>
      <c r="G94" s="48">
        <v>12</v>
      </c>
      <c r="H94" s="50" t="str">
        <f ca="1" t="shared" si="15"/>
        <v>TV Berkenbaum</v>
      </c>
      <c r="I94" s="51" t="s">
        <v>24</v>
      </c>
      <c r="J94" s="49" t="s">
        <v>19</v>
      </c>
      <c r="K94" s="48">
        <v>13</v>
      </c>
      <c r="L94" s="50" t="str">
        <f ca="1" t="shared" si="16"/>
        <v>TSV Burgdorf</v>
      </c>
      <c r="M94" s="49" t="s">
        <v>19</v>
      </c>
      <c r="N94" s="48">
        <v>14</v>
      </c>
      <c r="O94" s="50" t="str">
        <f ca="1" t="shared" si="17"/>
        <v>MTV Jahn Schladen</v>
      </c>
      <c r="P94" s="52"/>
      <c r="Q94" s="48">
        <v>40</v>
      </c>
      <c r="R94" s="51" t="s">
        <v>23</v>
      </c>
      <c r="S94" s="48">
        <v>43</v>
      </c>
      <c r="T94" s="53">
        <f t="shared" si="12"/>
        <v>0</v>
      </c>
      <c r="U94" s="51" t="s">
        <v>23</v>
      </c>
      <c r="V94" s="54">
        <f t="shared" si="13"/>
        <v>2</v>
      </c>
      <c r="X94" s="51" t="s">
        <v>44</v>
      </c>
      <c r="Y94" s="51" t="s">
        <v>44</v>
      </c>
      <c r="AA94" s="36" t="s">
        <v>60</v>
      </c>
      <c r="AB94" s="36" t="s">
        <v>20</v>
      </c>
      <c r="AC94" s="28">
        <v>8</v>
      </c>
    </row>
    <row r="95" spans="2:29" ht="12.75">
      <c r="B95" s="36">
        <f>+B91+1</f>
        <v>15</v>
      </c>
      <c r="C95" s="41">
        <f>+Daten!N19</f>
        <v>0.652777777777778</v>
      </c>
      <c r="D95" s="36">
        <f t="shared" si="14"/>
        <v>57</v>
      </c>
      <c r="E95" s="36">
        <v>1</v>
      </c>
      <c r="F95" s="42" t="s">
        <v>18</v>
      </c>
      <c r="G95" s="36">
        <v>4</v>
      </c>
      <c r="H95" s="43" t="str">
        <f ca="1" t="shared" si="15"/>
        <v>TV Freiburg St. Georgen</v>
      </c>
      <c r="I95" s="44" t="s">
        <v>24</v>
      </c>
      <c r="J95" s="42" t="s">
        <v>18</v>
      </c>
      <c r="K95" s="36">
        <v>5</v>
      </c>
      <c r="L95" s="43" t="str">
        <f ca="1" t="shared" si="16"/>
        <v>Vegesacker TV</v>
      </c>
      <c r="M95" s="42" t="s">
        <v>18</v>
      </c>
      <c r="N95" s="36">
        <v>1</v>
      </c>
      <c r="O95" s="43" t="str">
        <f ca="1" t="shared" si="17"/>
        <v>TV Hochneukirch</v>
      </c>
      <c r="P95" s="45"/>
      <c r="Q95" s="36">
        <v>31</v>
      </c>
      <c r="R95" s="44" t="s">
        <v>23</v>
      </c>
      <c r="S95" s="36">
        <v>39</v>
      </c>
      <c r="T95" s="46">
        <f t="shared" si="12"/>
        <v>0</v>
      </c>
      <c r="U95" s="44" t="s">
        <v>23</v>
      </c>
      <c r="V95" s="47">
        <f t="shared" si="13"/>
        <v>2</v>
      </c>
      <c r="X95" s="44" t="s">
        <v>44</v>
      </c>
      <c r="Y95" s="44" t="s">
        <v>44</v>
      </c>
      <c r="AA95" s="36" t="s">
        <v>60</v>
      </c>
      <c r="AB95" s="36" t="s">
        <v>20</v>
      </c>
      <c r="AC95" s="28">
        <v>9</v>
      </c>
    </row>
    <row r="96" spans="2:29" ht="12.75">
      <c r="B96" s="36"/>
      <c r="C96" s="36"/>
      <c r="D96" s="36">
        <f t="shared" si="14"/>
        <v>58</v>
      </c>
      <c r="E96" s="36">
        <v>2</v>
      </c>
      <c r="F96" s="42" t="s">
        <v>18</v>
      </c>
      <c r="G96" s="36">
        <v>14</v>
      </c>
      <c r="H96" s="43" t="str">
        <f ca="1" t="shared" si="15"/>
        <v>TSV Marienfelde</v>
      </c>
      <c r="I96" s="44" t="s">
        <v>24</v>
      </c>
      <c r="J96" s="42" t="s">
        <v>18</v>
      </c>
      <c r="K96" s="36">
        <v>15</v>
      </c>
      <c r="L96" s="43" t="str">
        <f ca="1" t="shared" si="16"/>
        <v>VfL Waiblingen</v>
      </c>
      <c r="M96" s="42" t="s">
        <v>18</v>
      </c>
      <c r="N96" s="36">
        <v>11</v>
      </c>
      <c r="O96" s="43" t="str">
        <f ca="1" t="shared" si="17"/>
        <v>TV Berkenbaum </v>
      </c>
      <c r="P96" s="45"/>
      <c r="Q96" s="36">
        <v>36</v>
      </c>
      <c r="R96" s="44" t="s">
        <v>23</v>
      </c>
      <c r="S96" s="36">
        <v>38</v>
      </c>
      <c r="T96" s="46">
        <f t="shared" si="12"/>
        <v>0</v>
      </c>
      <c r="U96" s="44" t="s">
        <v>23</v>
      </c>
      <c r="V96" s="47">
        <f t="shared" si="13"/>
        <v>2</v>
      </c>
      <c r="X96" s="44" t="s">
        <v>44</v>
      </c>
      <c r="Y96" s="44" t="s">
        <v>44</v>
      </c>
      <c r="AA96" s="36" t="s">
        <v>60</v>
      </c>
      <c r="AB96" s="36" t="s">
        <v>20</v>
      </c>
      <c r="AC96" s="28">
        <v>9</v>
      </c>
    </row>
    <row r="97" spans="2:29" ht="12.75">
      <c r="B97" s="36"/>
      <c r="C97" s="36"/>
      <c r="D97" s="36">
        <f t="shared" si="14"/>
        <v>59</v>
      </c>
      <c r="E97" s="36">
        <v>3</v>
      </c>
      <c r="F97" s="42" t="s">
        <v>19</v>
      </c>
      <c r="G97" s="36">
        <v>4</v>
      </c>
      <c r="H97" s="43" t="str">
        <f ca="1" t="shared" si="15"/>
        <v>TV Huchenfeld</v>
      </c>
      <c r="I97" s="44" t="s">
        <v>24</v>
      </c>
      <c r="J97" s="42" t="s">
        <v>19</v>
      </c>
      <c r="K97" s="36">
        <v>5</v>
      </c>
      <c r="L97" s="43" t="str">
        <f ca="1" t="shared" si="16"/>
        <v>TuS Aschen-Strang</v>
      </c>
      <c r="M97" s="42" t="s">
        <v>19</v>
      </c>
      <c r="N97" s="36">
        <v>1</v>
      </c>
      <c r="O97" s="43" t="str">
        <f ca="1" t="shared" si="17"/>
        <v>TV Zeilhard</v>
      </c>
      <c r="P97" s="45"/>
      <c r="Q97" s="36">
        <v>30</v>
      </c>
      <c r="R97" s="44" t="s">
        <v>23</v>
      </c>
      <c r="S97" s="36">
        <v>39</v>
      </c>
      <c r="T97" s="46">
        <f t="shared" si="12"/>
        <v>0</v>
      </c>
      <c r="U97" s="44" t="s">
        <v>23</v>
      </c>
      <c r="V97" s="47">
        <f t="shared" si="13"/>
        <v>2</v>
      </c>
      <c r="X97" s="44" t="s">
        <v>44</v>
      </c>
      <c r="Y97" s="44" t="s">
        <v>44</v>
      </c>
      <c r="AA97" s="36" t="s">
        <v>60</v>
      </c>
      <c r="AB97" s="36" t="s">
        <v>20</v>
      </c>
      <c r="AC97" s="28">
        <v>10</v>
      </c>
    </row>
    <row r="98" spans="2:29" ht="12.75">
      <c r="B98" s="48"/>
      <c r="C98" s="48"/>
      <c r="D98" s="48">
        <f t="shared" si="14"/>
        <v>60</v>
      </c>
      <c r="E98" s="48">
        <v>4</v>
      </c>
      <c r="F98" s="49" t="s">
        <v>19</v>
      </c>
      <c r="G98" s="48">
        <v>14</v>
      </c>
      <c r="H98" s="50" t="str">
        <f ca="1" t="shared" si="15"/>
        <v>MTV Jahn Schladen</v>
      </c>
      <c r="I98" s="51" t="s">
        <v>24</v>
      </c>
      <c r="J98" s="49" t="s">
        <v>19</v>
      </c>
      <c r="K98" s="48">
        <v>15</v>
      </c>
      <c r="L98" s="50" t="str">
        <f ca="1" t="shared" si="16"/>
        <v>VfL Waiblingen</v>
      </c>
      <c r="M98" s="49" t="s">
        <v>19</v>
      </c>
      <c r="N98" s="48">
        <v>11</v>
      </c>
      <c r="O98" s="50" t="str">
        <f ca="1" t="shared" si="17"/>
        <v>Linden Dahlhauser TV</v>
      </c>
      <c r="P98" s="52"/>
      <c r="Q98" s="48">
        <v>45</v>
      </c>
      <c r="R98" s="51" t="s">
        <v>23</v>
      </c>
      <c r="S98" s="48">
        <v>33</v>
      </c>
      <c r="T98" s="53">
        <f t="shared" si="12"/>
        <v>2</v>
      </c>
      <c r="U98" s="51" t="s">
        <v>23</v>
      </c>
      <c r="V98" s="54">
        <f t="shared" si="13"/>
        <v>0</v>
      </c>
      <c r="X98" s="51" t="s">
        <v>44</v>
      </c>
      <c r="Y98" s="51" t="s">
        <v>44</v>
      </c>
      <c r="AA98" s="36" t="s">
        <v>60</v>
      </c>
      <c r="AB98" s="36" t="s">
        <v>20</v>
      </c>
      <c r="AC98" s="28">
        <v>10</v>
      </c>
    </row>
    <row r="99" spans="2:29" ht="12.75">
      <c r="B99" s="36">
        <f>+B95+1</f>
        <v>16</v>
      </c>
      <c r="C99" s="41">
        <f>+Daten!N20</f>
        <v>0.6701388888888892</v>
      </c>
      <c r="D99" s="36">
        <f t="shared" si="14"/>
        <v>61</v>
      </c>
      <c r="E99" s="36">
        <v>1</v>
      </c>
      <c r="F99" s="42" t="s">
        <v>18</v>
      </c>
      <c r="G99" s="36">
        <v>2</v>
      </c>
      <c r="H99" s="43" t="str">
        <f ca="1" t="shared" si="15"/>
        <v>TV Zeilhard</v>
      </c>
      <c r="I99" s="44" t="s">
        <v>24</v>
      </c>
      <c r="J99" s="42" t="s">
        <v>18</v>
      </c>
      <c r="K99" s="36">
        <v>3</v>
      </c>
      <c r="L99" s="43" t="str">
        <f ca="1" t="shared" si="16"/>
        <v>TSV Babenhausen</v>
      </c>
      <c r="M99" s="42" t="s">
        <v>18</v>
      </c>
      <c r="N99" s="36">
        <v>1</v>
      </c>
      <c r="O99" s="43" t="str">
        <f ca="1" t="shared" si="17"/>
        <v>TV Hochneukirch</v>
      </c>
      <c r="P99" s="45"/>
      <c r="Q99" s="36">
        <v>45</v>
      </c>
      <c r="R99" s="44" t="s">
        <v>23</v>
      </c>
      <c r="S99" s="36">
        <v>27</v>
      </c>
      <c r="T99" s="46">
        <f t="shared" si="12"/>
        <v>2</v>
      </c>
      <c r="U99" s="44" t="s">
        <v>23</v>
      </c>
      <c r="V99" s="47">
        <f t="shared" si="13"/>
        <v>0</v>
      </c>
      <c r="X99" s="44" t="s">
        <v>44</v>
      </c>
      <c r="Y99" s="44" t="s">
        <v>44</v>
      </c>
      <c r="AA99" s="36" t="s">
        <v>60</v>
      </c>
      <c r="AB99" s="36" t="s">
        <v>20</v>
      </c>
      <c r="AC99" s="28">
        <v>11</v>
      </c>
    </row>
    <row r="100" spans="2:29" ht="12.75">
      <c r="B100" s="36"/>
      <c r="C100" s="36"/>
      <c r="D100" s="36">
        <f t="shared" si="14"/>
        <v>62</v>
      </c>
      <c r="E100" s="36">
        <v>2</v>
      </c>
      <c r="F100" s="42" t="s">
        <v>18</v>
      </c>
      <c r="G100" s="36">
        <v>11</v>
      </c>
      <c r="H100" s="43" t="str">
        <f ca="1" t="shared" si="15"/>
        <v>TV Berkenbaum </v>
      </c>
      <c r="I100" s="44" t="s">
        <v>24</v>
      </c>
      <c r="J100" s="42" t="s">
        <v>18</v>
      </c>
      <c r="K100" s="36">
        <v>13</v>
      </c>
      <c r="L100" s="43" t="str">
        <f ca="1" t="shared" si="16"/>
        <v>MTV Markoldendorf</v>
      </c>
      <c r="M100" s="42" t="s">
        <v>18</v>
      </c>
      <c r="N100" s="36">
        <v>12</v>
      </c>
      <c r="O100" s="43" t="str">
        <f ca="1" t="shared" si="17"/>
        <v>TV Hemer </v>
      </c>
      <c r="P100" s="45"/>
      <c r="Q100" s="36">
        <v>33</v>
      </c>
      <c r="R100" s="44" t="s">
        <v>23</v>
      </c>
      <c r="S100" s="36">
        <v>34</v>
      </c>
      <c r="T100" s="46">
        <f t="shared" si="12"/>
        <v>0</v>
      </c>
      <c r="U100" s="44" t="s">
        <v>23</v>
      </c>
      <c r="V100" s="47">
        <f t="shared" si="13"/>
        <v>2</v>
      </c>
      <c r="X100" s="44" t="s">
        <v>44</v>
      </c>
      <c r="Y100" s="44" t="s">
        <v>44</v>
      </c>
      <c r="AA100" s="36" t="s">
        <v>60</v>
      </c>
      <c r="AB100" s="36" t="s">
        <v>20</v>
      </c>
      <c r="AC100" s="28">
        <v>11</v>
      </c>
    </row>
    <row r="101" spans="2:29" ht="12.75">
      <c r="B101" s="36"/>
      <c r="C101" s="36"/>
      <c r="D101" s="36">
        <f t="shared" si="14"/>
        <v>63</v>
      </c>
      <c r="E101" s="36">
        <v>3</v>
      </c>
      <c r="F101" s="42" t="s">
        <v>19</v>
      </c>
      <c r="G101" s="36">
        <v>2</v>
      </c>
      <c r="H101" s="43" t="str">
        <f ca="1" t="shared" si="15"/>
        <v>TV Kierdorf</v>
      </c>
      <c r="I101" s="44" t="s">
        <v>24</v>
      </c>
      <c r="J101" s="42" t="s">
        <v>19</v>
      </c>
      <c r="K101" s="36">
        <v>3</v>
      </c>
      <c r="L101" s="43" t="str">
        <f ca="1" t="shared" si="16"/>
        <v>SV Weiler</v>
      </c>
      <c r="M101" s="42" t="s">
        <v>19</v>
      </c>
      <c r="N101" s="36">
        <v>1</v>
      </c>
      <c r="O101" s="43" t="str">
        <f ca="1" t="shared" si="17"/>
        <v>TV Zeilhard</v>
      </c>
      <c r="P101" s="45"/>
      <c r="Q101" s="36">
        <v>37</v>
      </c>
      <c r="R101" s="44" t="s">
        <v>23</v>
      </c>
      <c r="S101" s="36">
        <v>34</v>
      </c>
      <c r="T101" s="46">
        <f t="shared" si="12"/>
        <v>2</v>
      </c>
      <c r="U101" s="44" t="s">
        <v>23</v>
      </c>
      <c r="V101" s="47">
        <f t="shared" si="13"/>
        <v>0</v>
      </c>
      <c r="X101" s="44" t="s">
        <v>44</v>
      </c>
      <c r="Y101" s="44" t="s">
        <v>44</v>
      </c>
      <c r="AA101" s="36" t="s">
        <v>60</v>
      </c>
      <c r="AB101" s="36" t="s">
        <v>20</v>
      </c>
      <c r="AC101" s="28">
        <v>12</v>
      </c>
    </row>
    <row r="102" spans="2:29" ht="12.75">
      <c r="B102" s="48"/>
      <c r="C102" s="48"/>
      <c r="D102" s="48">
        <f t="shared" si="14"/>
        <v>64</v>
      </c>
      <c r="E102" s="48">
        <v>4</v>
      </c>
      <c r="F102" s="49" t="s">
        <v>19</v>
      </c>
      <c r="G102" s="48">
        <v>11</v>
      </c>
      <c r="H102" s="50" t="str">
        <f ca="1" t="shared" si="15"/>
        <v>Linden Dahlhauser TV</v>
      </c>
      <c r="I102" s="51" t="s">
        <v>24</v>
      </c>
      <c r="J102" s="49" t="s">
        <v>19</v>
      </c>
      <c r="K102" s="48">
        <v>13</v>
      </c>
      <c r="L102" s="50" t="str">
        <f ca="1" t="shared" si="16"/>
        <v>TSV Burgdorf</v>
      </c>
      <c r="M102" s="49" t="s">
        <v>19</v>
      </c>
      <c r="N102" s="48">
        <v>12</v>
      </c>
      <c r="O102" s="50" t="str">
        <f ca="1" t="shared" si="17"/>
        <v>TV Berkenbaum</v>
      </c>
      <c r="P102" s="52"/>
      <c r="Q102" s="48">
        <v>42</v>
      </c>
      <c r="R102" s="51" t="s">
        <v>23</v>
      </c>
      <c r="S102" s="48">
        <v>43</v>
      </c>
      <c r="T102" s="53">
        <f t="shared" si="12"/>
        <v>0</v>
      </c>
      <c r="U102" s="51" t="s">
        <v>23</v>
      </c>
      <c r="V102" s="54">
        <f t="shared" si="13"/>
        <v>2</v>
      </c>
      <c r="X102" s="51" t="s">
        <v>44</v>
      </c>
      <c r="Y102" s="51" t="s">
        <v>44</v>
      </c>
      <c r="AA102" s="36" t="s">
        <v>60</v>
      </c>
      <c r="AB102" s="36" t="s">
        <v>20</v>
      </c>
      <c r="AC102" s="28">
        <v>12</v>
      </c>
    </row>
    <row r="103" spans="2:29" ht="12.75">
      <c r="B103" s="36">
        <f>+B99+1</f>
        <v>17</v>
      </c>
      <c r="C103" s="41">
        <f>+Daten!N21</f>
        <v>0.6875000000000003</v>
      </c>
      <c r="D103" s="36">
        <f t="shared" si="14"/>
        <v>65</v>
      </c>
      <c r="E103" s="36">
        <v>1</v>
      </c>
      <c r="F103" s="42" t="s">
        <v>18</v>
      </c>
      <c r="G103" s="36">
        <v>1</v>
      </c>
      <c r="H103" s="43" t="str">
        <f ca="1" t="shared" si="15"/>
        <v>TV Hochneukirch</v>
      </c>
      <c r="I103" s="44" t="s">
        <v>24</v>
      </c>
      <c r="J103" s="42" t="s">
        <v>18</v>
      </c>
      <c r="K103" s="36">
        <v>4</v>
      </c>
      <c r="L103" s="43" t="str">
        <f ca="1" t="shared" si="16"/>
        <v>TV Freiburg St. Georgen</v>
      </c>
      <c r="M103" s="42" t="s">
        <v>18</v>
      </c>
      <c r="N103" s="36">
        <v>5</v>
      </c>
      <c r="O103" s="43" t="str">
        <f ca="1" t="shared" si="17"/>
        <v>Vegesacker TV</v>
      </c>
      <c r="P103" s="45"/>
      <c r="Q103" s="36">
        <v>35</v>
      </c>
      <c r="R103" s="44" t="s">
        <v>23</v>
      </c>
      <c r="S103" s="36">
        <v>37</v>
      </c>
      <c r="T103" s="46">
        <f t="shared" si="12"/>
        <v>0</v>
      </c>
      <c r="U103" s="44" t="s">
        <v>23</v>
      </c>
      <c r="V103" s="47">
        <f t="shared" si="13"/>
        <v>2</v>
      </c>
      <c r="X103" s="44" t="s">
        <v>44</v>
      </c>
      <c r="Y103" s="44" t="s">
        <v>44</v>
      </c>
      <c r="AA103" s="36" t="s">
        <v>60</v>
      </c>
      <c r="AB103" s="36" t="s">
        <v>20</v>
      </c>
      <c r="AC103" s="28">
        <v>13</v>
      </c>
    </row>
    <row r="104" spans="2:29" ht="12.75">
      <c r="B104" s="36"/>
      <c r="C104" s="36"/>
      <c r="D104" s="36">
        <f aca="true" t="shared" si="18" ref="D104:D118">+D103+1</f>
        <v>66</v>
      </c>
      <c r="E104" s="36">
        <v>2</v>
      </c>
      <c r="F104" s="42" t="s">
        <v>18</v>
      </c>
      <c r="G104" s="36">
        <v>12</v>
      </c>
      <c r="H104" s="43" t="str">
        <f ca="1" t="shared" si="19" ref="H104:H118">INDIRECT(ADDRESS(MATCH(G104,$A$1:$A$20,0),MATCH(F104,$A$6:$AE$6,0)))</f>
        <v>TV Hemer </v>
      </c>
      <c r="I104" s="44" t="s">
        <v>24</v>
      </c>
      <c r="J104" s="42" t="s">
        <v>18</v>
      </c>
      <c r="K104" s="36">
        <v>14</v>
      </c>
      <c r="L104" s="43" t="str">
        <f ca="1" t="shared" si="20" ref="L104:L118">INDIRECT(ADDRESS(MATCH(K104,$A$1:$A$20,0),MATCH(J104,$A$6:$AE$6,0)))</f>
        <v>TSV Marienfelde</v>
      </c>
      <c r="M104" s="42" t="s">
        <v>18</v>
      </c>
      <c r="N104" s="36">
        <v>15</v>
      </c>
      <c r="O104" s="43" t="str">
        <f ca="1" t="shared" si="21" ref="O104:O118">INDIRECT(ADDRESS(MATCH(N104,$A$1:$A$20,0),MATCH(M104,$A$6:$AE$6,0)))</f>
        <v>VfL Waiblingen</v>
      </c>
      <c r="P104" s="45"/>
      <c r="Q104" s="36">
        <v>38</v>
      </c>
      <c r="R104" s="44" t="s">
        <v>23</v>
      </c>
      <c r="S104" s="36">
        <v>33</v>
      </c>
      <c r="T104" s="46">
        <f t="shared" si="12"/>
        <v>2</v>
      </c>
      <c r="U104" s="44" t="s">
        <v>23</v>
      </c>
      <c r="V104" s="47">
        <f t="shared" si="13"/>
        <v>0</v>
      </c>
      <c r="X104" s="44" t="s">
        <v>44</v>
      </c>
      <c r="Y104" s="44" t="s">
        <v>44</v>
      </c>
      <c r="AA104" s="36" t="s">
        <v>60</v>
      </c>
      <c r="AB104" s="36" t="s">
        <v>20</v>
      </c>
      <c r="AC104" s="28">
        <v>13</v>
      </c>
    </row>
    <row r="105" spans="2:29" ht="12.75">
      <c r="B105" s="36"/>
      <c r="C105" s="36"/>
      <c r="D105" s="36">
        <f t="shared" si="18"/>
        <v>67</v>
      </c>
      <c r="E105" s="36">
        <v>3</v>
      </c>
      <c r="F105" s="42" t="s">
        <v>19</v>
      </c>
      <c r="G105" s="36">
        <v>1</v>
      </c>
      <c r="H105" s="43" t="str">
        <f ca="1" t="shared" si="19"/>
        <v>TV Zeilhard</v>
      </c>
      <c r="I105" s="44" t="s">
        <v>24</v>
      </c>
      <c r="J105" s="42" t="s">
        <v>19</v>
      </c>
      <c r="K105" s="36">
        <v>4</v>
      </c>
      <c r="L105" s="43" t="str">
        <f ca="1" t="shared" si="20"/>
        <v>TV Huchenfeld</v>
      </c>
      <c r="M105" s="42" t="s">
        <v>19</v>
      </c>
      <c r="N105" s="36">
        <v>5</v>
      </c>
      <c r="O105" s="43" t="str">
        <f ca="1" t="shared" si="21"/>
        <v>TuS Aschen-Strang</v>
      </c>
      <c r="P105" s="45"/>
      <c r="Q105" s="36">
        <v>41</v>
      </c>
      <c r="R105" s="44" t="s">
        <v>23</v>
      </c>
      <c r="S105" s="36">
        <v>43</v>
      </c>
      <c r="T105" s="46">
        <f t="shared" si="12"/>
        <v>0</v>
      </c>
      <c r="U105" s="44" t="s">
        <v>23</v>
      </c>
      <c r="V105" s="47">
        <f t="shared" si="13"/>
        <v>2</v>
      </c>
      <c r="X105" s="44" t="s">
        <v>44</v>
      </c>
      <c r="Y105" s="44" t="s">
        <v>44</v>
      </c>
      <c r="AA105" s="36" t="s">
        <v>60</v>
      </c>
      <c r="AB105" s="36" t="s">
        <v>20</v>
      </c>
      <c r="AC105" s="28">
        <v>14</v>
      </c>
    </row>
    <row r="106" spans="2:29" ht="12.75">
      <c r="B106" s="48"/>
      <c r="C106" s="48"/>
      <c r="D106" s="48">
        <f t="shared" si="18"/>
        <v>68</v>
      </c>
      <c r="E106" s="48">
        <v>4</v>
      </c>
      <c r="F106" s="49" t="s">
        <v>19</v>
      </c>
      <c r="G106" s="48">
        <v>12</v>
      </c>
      <c r="H106" s="50" t="str">
        <f ca="1" t="shared" si="19"/>
        <v>TV Berkenbaum</v>
      </c>
      <c r="I106" s="51" t="s">
        <v>24</v>
      </c>
      <c r="J106" s="49" t="s">
        <v>19</v>
      </c>
      <c r="K106" s="48">
        <v>14</v>
      </c>
      <c r="L106" s="50" t="str">
        <f ca="1" t="shared" si="20"/>
        <v>MTV Jahn Schladen</v>
      </c>
      <c r="M106" s="49" t="s">
        <v>19</v>
      </c>
      <c r="N106" s="48">
        <v>15</v>
      </c>
      <c r="O106" s="50" t="str">
        <f ca="1" t="shared" si="21"/>
        <v>VfL Waiblingen</v>
      </c>
      <c r="P106" s="52"/>
      <c r="Q106" s="48">
        <v>40</v>
      </c>
      <c r="R106" s="51" t="s">
        <v>23</v>
      </c>
      <c r="S106" s="48">
        <v>36</v>
      </c>
      <c r="T106" s="53">
        <f t="shared" si="12"/>
        <v>2</v>
      </c>
      <c r="U106" s="51" t="s">
        <v>23</v>
      </c>
      <c r="V106" s="54">
        <f t="shared" si="13"/>
        <v>0</v>
      </c>
      <c r="X106" s="51" t="s">
        <v>44</v>
      </c>
      <c r="Y106" s="51" t="s">
        <v>44</v>
      </c>
      <c r="AA106" s="36" t="s">
        <v>60</v>
      </c>
      <c r="AB106" s="36" t="s">
        <v>20</v>
      </c>
      <c r="AC106" s="28">
        <v>14</v>
      </c>
    </row>
    <row r="107" spans="2:29" ht="12.75">
      <c r="B107" s="36">
        <f>+B103+1</f>
        <v>18</v>
      </c>
      <c r="C107" s="41">
        <f>+Daten!N22</f>
        <v>0.7048611111111115</v>
      </c>
      <c r="D107" s="36">
        <f t="shared" si="18"/>
        <v>69</v>
      </c>
      <c r="E107" s="36">
        <v>1</v>
      </c>
      <c r="F107" s="42" t="s">
        <v>18</v>
      </c>
      <c r="G107" s="36">
        <v>3</v>
      </c>
      <c r="H107" s="43" t="str">
        <f ca="1" t="shared" si="19"/>
        <v>TSV Babenhausen</v>
      </c>
      <c r="I107" s="44" t="s">
        <v>24</v>
      </c>
      <c r="J107" s="42" t="s">
        <v>18</v>
      </c>
      <c r="K107" s="36">
        <v>5</v>
      </c>
      <c r="L107" s="43" t="str">
        <f ca="1" t="shared" si="20"/>
        <v>Vegesacker TV</v>
      </c>
      <c r="M107" s="42" t="s">
        <v>18</v>
      </c>
      <c r="N107" s="36">
        <v>1</v>
      </c>
      <c r="O107" s="43" t="str">
        <f ca="1" t="shared" si="21"/>
        <v>TV Hochneukirch</v>
      </c>
      <c r="P107" s="45"/>
      <c r="Q107" s="36">
        <v>36</v>
      </c>
      <c r="R107" s="44" t="s">
        <v>23</v>
      </c>
      <c r="S107" s="36">
        <v>43</v>
      </c>
      <c r="T107" s="46">
        <f t="shared" si="12"/>
        <v>0</v>
      </c>
      <c r="U107" s="44" t="s">
        <v>23</v>
      </c>
      <c r="V107" s="47">
        <f t="shared" si="13"/>
        <v>2</v>
      </c>
      <c r="X107" s="44" t="s">
        <v>44</v>
      </c>
      <c r="Y107" s="44" t="s">
        <v>44</v>
      </c>
      <c r="AA107" s="36" t="s">
        <v>60</v>
      </c>
      <c r="AB107" s="36" t="s">
        <v>20</v>
      </c>
      <c r="AC107" s="28">
        <v>15</v>
      </c>
    </row>
    <row r="108" spans="2:29" ht="12.75">
      <c r="B108" s="36"/>
      <c r="C108" s="36"/>
      <c r="D108" s="36">
        <f t="shared" si="18"/>
        <v>70</v>
      </c>
      <c r="E108" s="36">
        <v>2</v>
      </c>
      <c r="F108" s="42" t="s">
        <v>18</v>
      </c>
      <c r="G108" s="36">
        <v>13</v>
      </c>
      <c r="H108" s="43" t="str">
        <f ca="1" t="shared" si="19"/>
        <v>MTV Markoldendorf</v>
      </c>
      <c r="I108" s="44" t="s">
        <v>24</v>
      </c>
      <c r="J108" s="42" t="s">
        <v>18</v>
      </c>
      <c r="K108" s="36">
        <v>15</v>
      </c>
      <c r="L108" s="43" t="str">
        <f ca="1" t="shared" si="20"/>
        <v>VfL Waiblingen</v>
      </c>
      <c r="M108" s="42" t="s">
        <v>18</v>
      </c>
      <c r="N108" s="36">
        <v>11</v>
      </c>
      <c r="O108" s="43" t="str">
        <f ca="1" t="shared" si="21"/>
        <v>TV Berkenbaum </v>
      </c>
      <c r="P108" s="45"/>
      <c r="Q108" s="36">
        <v>42</v>
      </c>
      <c r="R108" s="44" t="s">
        <v>23</v>
      </c>
      <c r="S108" s="36">
        <v>33</v>
      </c>
      <c r="T108" s="46">
        <f t="shared" si="12"/>
        <v>2</v>
      </c>
      <c r="U108" s="44" t="s">
        <v>23</v>
      </c>
      <c r="V108" s="47">
        <f t="shared" si="13"/>
        <v>0</v>
      </c>
      <c r="X108" s="44" t="s">
        <v>44</v>
      </c>
      <c r="Y108" s="44" t="s">
        <v>44</v>
      </c>
      <c r="AA108" s="36" t="s">
        <v>60</v>
      </c>
      <c r="AB108" s="36" t="s">
        <v>20</v>
      </c>
      <c r="AC108" s="28">
        <v>15</v>
      </c>
    </row>
    <row r="109" spans="2:29" ht="12.75">
      <c r="B109" s="36"/>
      <c r="C109" s="36"/>
      <c r="D109" s="36">
        <f t="shared" si="18"/>
        <v>71</v>
      </c>
      <c r="E109" s="36">
        <v>3</v>
      </c>
      <c r="F109" s="42" t="s">
        <v>19</v>
      </c>
      <c r="G109" s="36">
        <v>3</v>
      </c>
      <c r="H109" s="43" t="str">
        <f ca="1" t="shared" si="19"/>
        <v>SV Weiler</v>
      </c>
      <c r="I109" s="44" t="s">
        <v>24</v>
      </c>
      <c r="J109" s="42" t="s">
        <v>19</v>
      </c>
      <c r="K109" s="36">
        <v>5</v>
      </c>
      <c r="L109" s="43" t="str">
        <f ca="1" t="shared" si="20"/>
        <v>TuS Aschen-Strang</v>
      </c>
      <c r="M109" s="42" t="s">
        <v>19</v>
      </c>
      <c r="N109" s="36">
        <v>1</v>
      </c>
      <c r="O109" s="43" t="str">
        <f ca="1" t="shared" si="21"/>
        <v>TV Zeilhard</v>
      </c>
      <c r="P109" s="45"/>
      <c r="Q109" s="36">
        <v>30</v>
      </c>
      <c r="R109" s="44" t="s">
        <v>23</v>
      </c>
      <c r="S109" s="36">
        <v>47</v>
      </c>
      <c r="T109" s="46">
        <f t="shared" si="12"/>
        <v>0</v>
      </c>
      <c r="U109" s="44" t="s">
        <v>23</v>
      </c>
      <c r="V109" s="47">
        <f t="shared" si="13"/>
        <v>2</v>
      </c>
      <c r="X109" s="44" t="s">
        <v>44</v>
      </c>
      <c r="Y109" s="44" t="s">
        <v>44</v>
      </c>
      <c r="AA109" s="36" t="s">
        <v>60</v>
      </c>
      <c r="AB109" s="36" t="s">
        <v>20</v>
      </c>
      <c r="AC109" s="28">
        <v>16</v>
      </c>
    </row>
    <row r="110" spans="2:29" ht="12.75">
      <c r="B110" s="48"/>
      <c r="C110" s="48"/>
      <c r="D110" s="48">
        <f t="shared" si="18"/>
        <v>72</v>
      </c>
      <c r="E110" s="48">
        <v>4</v>
      </c>
      <c r="F110" s="49" t="s">
        <v>19</v>
      </c>
      <c r="G110" s="48">
        <v>13</v>
      </c>
      <c r="H110" s="50" t="str">
        <f ca="1" t="shared" si="19"/>
        <v>TSV Burgdorf</v>
      </c>
      <c r="I110" s="51" t="s">
        <v>24</v>
      </c>
      <c r="J110" s="49" t="s">
        <v>19</v>
      </c>
      <c r="K110" s="48">
        <v>15</v>
      </c>
      <c r="L110" s="50" t="str">
        <f ca="1" t="shared" si="20"/>
        <v>VfL Waiblingen</v>
      </c>
      <c r="M110" s="49" t="s">
        <v>19</v>
      </c>
      <c r="N110" s="48">
        <v>11</v>
      </c>
      <c r="O110" s="50" t="str">
        <f ca="1" t="shared" si="21"/>
        <v>Linden Dahlhauser TV</v>
      </c>
      <c r="P110" s="52"/>
      <c r="Q110" s="48">
        <v>44</v>
      </c>
      <c r="R110" s="51" t="s">
        <v>23</v>
      </c>
      <c r="S110" s="48">
        <v>37</v>
      </c>
      <c r="T110" s="53">
        <f t="shared" si="12"/>
        <v>2</v>
      </c>
      <c r="U110" s="51" t="s">
        <v>23</v>
      </c>
      <c r="V110" s="54">
        <f t="shared" si="13"/>
        <v>0</v>
      </c>
      <c r="X110" s="51" t="s">
        <v>44</v>
      </c>
      <c r="Y110" s="51" t="s">
        <v>44</v>
      </c>
      <c r="AA110" s="36" t="s">
        <v>60</v>
      </c>
      <c r="AB110" s="36" t="s">
        <v>20</v>
      </c>
      <c r="AC110" s="28">
        <v>16</v>
      </c>
    </row>
    <row r="111" spans="2:29" ht="12.75">
      <c r="B111" s="36">
        <f>+B107+1</f>
        <v>19</v>
      </c>
      <c r="C111" s="41">
        <f>+Daten!N23</f>
        <v>0.7222222222222227</v>
      </c>
      <c r="D111" s="36">
        <f t="shared" si="18"/>
        <v>73</v>
      </c>
      <c r="E111" s="36">
        <v>1</v>
      </c>
      <c r="F111" s="42" t="s">
        <v>18</v>
      </c>
      <c r="G111" s="36">
        <v>2</v>
      </c>
      <c r="H111" s="43" t="str">
        <f ca="1" t="shared" si="19"/>
        <v>TV Zeilhard</v>
      </c>
      <c r="I111" s="44" t="s">
        <v>24</v>
      </c>
      <c r="J111" s="42" t="s">
        <v>18</v>
      </c>
      <c r="K111" s="36">
        <v>4</v>
      </c>
      <c r="L111" s="43" t="str">
        <f ca="1" t="shared" si="20"/>
        <v>TV Freiburg St. Georgen</v>
      </c>
      <c r="M111" s="42" t="s">
        <v>18</v>
      </c>
      <c r="N111" s="36">
        <v>3</v>
      </c>
      <c r="O111" s="43" t="str">
        <f ca="1" t="shared" si="21"/>
        <v>TSV Babenhausen</v>
      </c>
      <c r="P111" s="45"/>
      <c r="Q111" s="36">
        <v>35</v>
      </c>
      <c r="R111" s="44" t="s">
        <v>23</v>
      </c>
      <c r="S111" s="36">
        <v>32</v>
      </c>
      <c r="T111" s="46">
        <f t="shared" si="12"/>
        <v>2</v>
      </c>
      <c r="U111" s="44" t="s">
        <v>23</v>
      </c>
      <c r="V111" s="47">
        <f t="shared" si="13"/>
        <v>0</v>
      </c>
      <c r="X111" s="44" t="s">
        <v>44</v>
      </c>
      <c r="Y111" s="44" t="s">
        <v>44</v>
      </c>
      <c r="AA111" s="36" t="s">
        <v>60</v>
      </c>
      <c r="AB111" s="36" t="s">
        <v>20</v>
      </c>
      <c r="AC111" s="28">
        <v>17</v>
      </c>
    </row>
    <row r="112" spans="2:29" ht="12.75">
      <c r="B112" s="36"/>
      <c r="C112" s="36"/>
      <c r="D112" s="36">
        <f t="shared" si="18"/>
        <v>74</v>
      </c>
      <c r="E112" s="36">
        <v>2</v>
      </c>
      <c r="F112" s="42" t="s">
        <v>18</v>
      </c>
      <c r="G112" s="36">
        <v>11</v>
      </c>
      <c r="H112" s="43" t="str">
        <f ca="1" t="shared" si="19"/>
        <v>TV Berkenbaum </v>
      </c>
      <c r="I112" s="44" t="s">
        <v>24</v>
      </c>
      <c r="J112" s="42" t="s">
        <v>18</v>
      </c>
      <c r="K112" s="36">
        <v>14</v>
      </c>
      <c r="L112" s="43" t="str">
        <f ca="1" t="shared" si="20"/>
        <v>TSV Marienfelde</v>
      </c>
      <c r="M112" s="42" t="s">
        <v>18</v>
      </c>
      <c r="N112" s="36">
        <v>13</v>
      </c>
      <c r="O112" s="43" t="str">
        <f ca="1" t="shared" si="21"/>
        <v>MTV Markoldendorf</v>
      </c>
      <c r="P112" s="45"/>
      <c r="Q112" s="36">
        <v>34</v>
      </c>
      <c r="R112" s="44" t="s">
        <v>23</v>
      </c>
      <c r="S112" s="36">
        <v>39</v>
      </c>
      <c r="T112" s="46">
        <f t="shared" si="12"/>
        <v>0</v>
      </c>
      <c r="U112" s="44" t="s">
        <v>23</v>
      </c>
      <c r="V112" s="47">
        <f t="shared" si="13"/>
        <v>2</v>
      </c>
      <c r="X112" s="44" t="s">
        <v>44</v>
      </c>
      <c r="Y112" s="44" t="s">
        <v>44</v>
      </c>
      <c r="AA112" s="36" t="s">
        <v>60</v>
      </c>
      <c r="AB112" s="36" t="s">
        <v>20</v>
      </c>
      <c r="AC112" s="28">
        <v>17</v>
      </c>
    </row>
    <row r="113" spans="2:29" ht="12.75">
      <c r="B113" s="36"/>
      <c r="C113" s="36"/>
      <c r="D113" s="36">
        <f t="shared" si="18"/>
        <v>75</v>
      </c>
      <c r="E113" s="36">
        <v>3</v>
      </c>
      <c r="F113" s="42" t="s">
        <v>19</v>
      </c>
      <c r="G113" s="36">
        <v>2</v>
      </c>
      <c r="H113" s="43" t="str">
        <f ca="1" t="shared" si="19"/>
        <v>TV Kierdorf</v>
      </c>
      <c r="I113" s="44" t="s">
        <v>24</v>
      </c>
      <c r="J113" s="42" t="s">
        <v>19</v>
      </c>
      <c r="K113" s="36">
        <v>4</v>
      </c>
      <c r="L113" s="43" t="str">
        <f ca="1" t="shared" si="20"/>
        <v>TV Huchenfeld</v>
      </c>
      <c r="M113" s="42" t="s">
        <v>19</v>
      </c>
      <c r="N113" s="36">
        <v>3</v>
      </c>
      <c r="O113" s="43" t="str">
        <f ca="1" t="shared" si="21"/>
        <v>SV Weiler</v>
      </c>
      <c r="P113" s="45"/>
      <c r="Q113" s="36">
        <v>34</v>
      </c>
      <c r="R113" s="44" t="s">
        <v>23</v>
      </c>
      <c r="S113" s="36">
        <v>36</v>
      </c>
      <c r="T113" s="46">
        <f t="shared" si="12"/>
        <v>0</v>
      </c>
      <c r="U113" s="44" t="s">
        <v>23</v>
      </c>
      <c r="V113" s="47">
        <f t="shared" si="13"/>
        <v>2</v>
      </c>
      <c r="X113" s="44" t="s">
        <v>44</v>
      </c>
      <c r="Y113" s="44" t="s">
        <v>44</v>
      </c>
      <c r="AA113" s="36" t="s">
        <v>60</v>
      </c>
      <c r="AB113" s="36" t="s">
        <v>20</v>
      </c>
      <c r="AC113" s="28">
        <v>18</v>
      </c>
    </row>
    <row r="114" spans="2:29" ht="12.75">
      <c r="B114" s="48"/>
      <c r="C114" s="48"/>
      <c r="D114" s="48">
        <f t="shared" si="18"/>
        <v>76</v>
      </c>
      <c r="E114" s="48">
        <v>4</v>
      </c>
      <c r="F114" s="49" t="s">
        <v>19</v>
      </c>
      <c r="G114" s="48">
        <v>11</v>
      </c>
      <c r="H114" s="50" t="str">
        <f ca="1" t="shared" si="19"/>
        <v>Linden Dahlhauser TV</v>
      </c>
      <c r="I114" s="51" t="s">
        <v>24</v>
      </c>
      <c r="J114" s="49" t="s">
        <v>19</v>
      </c>
      <c r="K114" s="48">
        <v>14</v>
      </c>
      <c r="L114" s="50" t="str">
        <f ca="1" t="shared" si="20"/>
        <v>MTV Jahn Schladen</v>
      </c>
      <c r="M114" s="49" t="s">
        <v>19</v>
      </c>
      <c r="N114" s="48">
        <v>13</v>
      </c>
      <c r="O114" s="50" t="str">
        <f ca="1" t="shared" si="21"/>
        <v>TSV Burgdorf</v>
      </c>
      <c r="P114" s="52"/>
      <c r="Q114" s="48">
        <v>38</v>
      </c>
      <c r="R114" s="51" t="s">
        <v>23</v>
      </c>
      <c r="S114" s="48">
        <v>47</v>
      </c>
      <c r="T114" s="53">
        <f t="shared" si="12"/>
        <v>0</v>
      </c>
      <c r="U114" s="51" t="s">
        <v>23</v>
      </c>
      <c r="V114" s="54">
        <f t="shared" si="13"/>
        <v>2</v>
      </c>
      <c r="X114" s="51" t="s">
        <v>44</v>
      </c>
      <c r="Y114" s="51" t="s">
        <v>44</v>
      </c>
      <c r="AA114" s="36" t="s">
        <v>60</v>
      </c>
      <c r="AB114" s="36" t="s">
        <v>20</v>
      </c>
      <c r="AC114" s="28">
        <v>18</v>
      </c>
    </row>
    <row r="115" spans="2:29" ht="12.75">
      <c r="B115" s="36">
        <f>+B111+1</f>
        <v>20</v>
      </c>
      <c r="C115" s="41">
        <f>+Daten!N24</f>
        <v>0.7395833333333338</v>
      </c>
      <c r="D115" s="36">
        <f t="shared" si="18"/>
        <v>77</v>
      </c>
      <c r="E115" s="36">
        <v>1</v>
      </c>
      <c r="F115" s="42" t="s">
        <v>18</v>
      </c>
      <c r="G115" s="36">
        <v>1</v>
      </c>
      <c r="H115" s="43" t="str">
        <f ca="1" t="shared" si="19"/>
        <v>TV Hochneukirch</v>
      </c>
      <c r="I115" s="44" t="s">
        <v>24</v>
      </c>
      <c r="J115" s="42" t="s">
        <v>18</v>
      </c>
      <c r="K115" s="36">
        <v>5</v>
      </c>
      <c r="L115" s="43" t="str">
        <f ca="1" t="shared" si="20"/>
        <v>Vegesacker TV</v>
      </c>
      <c r="M115" s="42" t="s">
        <v>18</v>
      </c>
      <c r="N115" s="36">
        <v>4</v>
      </c>
      <c r="O115" s="43" t="str">
        <f ca="1" t="shared" si="21"/>
        <v>TV Freiburg St. Georgen</v>
      </c>
      <c r="P115" s="45"/>
      <c r="Q115" s="36">
        <v>31</v>
      </c>
      <c r="R115" s="44" t="s">
        <v>23</v>
      </c>
      <c r="S115" s="36">
        <v>46</v>
      </c>
      <c r="T115" s="46">
        <f t="shared" si="12"/>
        <v>0</v>
      </c>
      <c r="U115" s="44" t="s">
        <v>23</v>
      </c>
      <c r="V115" s="47">
        <f t="shared" si="13"/>
        <v>2</v>
      </c>
      <c r="X115" s="44" t="s">
        <v>44</v>
      </c>
      <c r="Y115" s="44" t="s">
        <v>44</v>
      </c>
      <c r="AA115" s="36" t="s">
        <v>60</v>
      </c>
      <c r="AB115" s="36" t="s">
        <v>20</v>
      </c>
      <c r="AC115" s="28">
        <v>19</v>
      </c>
    </row>
    <row r="116" spans="2:29" ht="12.75">
      <c r="B116" s="36"/>
      <c r="C116" s="36"/>
      <c r="D116" s="36">
        <f t="shared" si="18"/>
        <v>78</v>
      </c>
      <c r="E116" s="36">
        <v>2</v>
      </c>
      <c r="F116" s="42" t="s">
        <v>18</v>
      </c>
      <c r="G116" s="36">
        <v>12</v>
      </c>
      <c r="H116" s="43" t="str">
        <f ca="1" t="shared" si="19"/>
        <v>TV Hemer </v>
      </c>
      <c r="I116" s="44" t="s">
        <v>24</v>
      </c>
      <c r="J116" s="42" t="s">
        <v>18</v>
      </c>
      <c r="K116" s="36">
        <v>15</v>
      </c>
      <c r="L116" s="43" t="str">
        <f ca="1" t="shared" si="20"/>
        <v>VfL Waiblingen</v>
      </c>
      <c r="M116" s="42" t="s">
        <v>18</v>
      </c>
      <c r="N116" s="36">
        <v>14</v>
      </c>
      <c r="O116" s="43" t="str">
        <f ca="1" t="shared" si="21"/>
        <v>TSV Marienfelde</v>
      </c>
      <c r="P116" s="45"/>
      <c r="Q116" s="36">
        <v>38</v>
      </c>
      <c r="R116" s="44" t="s">
        <v>23</v>
      </c>
      <c r="S116" s="36">
        <v>30</v>
      </c>
      <c r="T116" s="46">
        <f t="shared" si="12"/>
        <v>2</v>
      </c>
      <c r="U116" s="44" t="s">
        <v>23</v>
      </c>
      <c r="V116" s="47">
        <f t="shared" si="13"/>
        <v>0</v>
      </c>
      <c r="X116" s="44" t="s">
        <v>44</v>
      </c>
      <c r="Y116" s="44" t="s">
        <v>44</v>
      </c>
      <c r="AA116" s="36" t="s">
        <v>60</v>
      </c>
      <c r="AB116" s="36" t="s">
        <v>20</v>
      </c>
      <c r="AC116" s="28">
        <v>19</v>
      </c>
    </row>
    <row r="117" spans="2:29" ht="12.75">
      <c r="B117" s="36"/>
      <c r="C117" s="36"/>
      <c r="D117" s="36">
        <f t="shared" si="18"/>
        <v>79</v>
      </c>
      <c r="E117" s="36">
        <v>3</v>
      </c>
      <c r="F117" s="42" t="s">
        <v>19</v>
      </c>
      <c r="G117" s="36">
        <v>1</v>
      </c>
      <c r="H117" s="43" t="str">
        <f ca="1" t="shared" si="19"/>
        <v>TV Zeilhard</v>
      </c>
      <c r="I117" s="44" t="s">
        <v>24</v>
      </c>
      <c r="J117" s="42" t="s">
        <v>19</v>
      </c>
      <c r="K117" s="36">
        <v>5</v>
      </c>
      <c r="L117" s="43" t="str">
        <f ca="1" t="shared" si="20"/>
        <v>TuS Aschen-Strang</v>
      </c>
      <c r="M117" s="42" t="s">
        <v>19</v>
      </c>
      <c r="N117" s="36">
        <v>4</v>
      </c>
      <c r="O117" s="43" t="str">
        <f ca="1" t="shared" si="21"/>
        <v>TV Huchenfeld</v>
      </c>
      <c r="P117" s="45"/>
      <c r="Q117" s="36">
        <v>37</v>
      </c>
      <c r="R117" s="44" t="s">
        <v>23</v>
      </c>
      <c r="S117" s="36">
        <v>38</v>
      </c>
      <c r="T117" s="46">
        <f t="shared" si="12"/>
        <v>0</v>
      </c>
      <c r="U117" s="44" t="s">
        <v>23</v>
      </c>
      <c r="V117" s="47">
        <f t="shared" si="13"/>
        <v>2</v>
      </c>
      <c r="X117" s="44" t="s">
        <v>44</v>
      </c>
      <c r="Y117" s="44" t="s">
        <v>44</v>
      </c>
      <c r="AA117" s="36" t="s">
        <v>60</v>
      </c>
      <c r="AB117" s="36" t="s">
        <v>20</v>
      </c>
      <c r="AC117" s="28">
        <v>20</v>
      </c>
    </row>
    <row r="118" spans="2:29" ht="12.75">
      <c r="B118" s="48"/>
      <c r="C118" s="48"/>
      <c r="D118" s="48">
        <f t="shared" si="18"/>
        <v>80</v>
      </c>
      <c r="E118" s="48">
        <v>4</v>
      </c>
      <c r="F118" s="49" t="s">
        <v>19</v>
      </c>
      <c r="G118" s="48">
        <v>12</v>
      </c>
      <c r="H118" s="50" t="str">
        <f ca="1" t="shared" si="19"/>
        <v>TV Berkenbaum</v>
      </c>
      <c r="I118" s="51" t="s">
        <v>24</v>
      </c>
      <c r="J118" s="49" t="s">
        <v>19</v>
      </c>
      <c r="K118" s="48">
        <v>15</v>
      </c>
      <c r="L118" s="50" t="str">
        <f ca="1" t="shared" si="20"/>
        <v>VfL Waiblingen</v>
      </c>
      <c r="M118" s="49" t="s">
        <v>19</v>
      </c>
      <c r="N118" s="48">
        <v>14</v>
      </c>
      <c r="O118" s="50" t="str">
        <f ca="1" t="shared" si="21"/>
        <v>MTV Jahn Schladen</v>
      </c>
      <c r="P118" s="52"/>
      <c r="Q118" s="48">
        <v>47</v>
      </c>
      <c r="R118" s="51" t="s">
        <v>23</v>
      </c>
      <c r="S118" s="48">
        <v>40</v>
      </c>
      <c r="T118" s="53">
        <f t="shared" si="12"/>
        <v>2</v>
      </c>
      <c r="U118" s="51" t="s">
        <v>23</v>
      </c>
      <c r="V118" s="54">
        <f t="shared" si="13"/>
        <v>0</v>
      </c>
      <c r="X118" s="51" t="s">
        <v>44</v>
      </c>
      <c r="Y118" s="51" t="s">
        <v>44</v>
      </c>
      <c r="AA118" s="36" t="s">
        <v>60</v>
      </c>
      <c r="AB118" s="36" t="s">
        <v>20</v>
      </c>
      <c r="AC118" s="28">
        <v>20</v>
      </c>
    </row>
    <row r="119" spans="2:28" ht="12.75" hidden="1" outlineLevel="1">
      <c r="B119" s="55" t="s">
        <v>61</v>
      </c>
      <c r="C119" s="55"/>
      <c r="D119" s="55" t="s">
        <v>62</v>
      </c>
      <c r="E119" s="36">
        <v>1</v>
      </c>
      <c r="F119" s="56"/>
      <c r="G119" s="55"/>
      <c r="H119" s="43"/>
      <c r="I119" s="44" t="s">
        <v>24</v>
      </c>
      <c r="J119" s="56"/>
      <c r="K119" s="55"/>
      <c r="L119" s="43"/>
      <c r="M119" s="56"/>
      <c r="N119" s="55"/>
      <c r="O119" s="43"/>
      <c r="P119" s="57"/>
      <c r="Q119" s="36"/>
      <c r="R119" s="44" t="s">
        <v>23</v>
      </c>
      <c r="S119" s="36"/>
      <c r="T119" s="46">
        <f t="shared" si="12"/>
      </c>
      <c r="U119" s="44" t="s">
        <v>23</v>
      </c>
      <c r="V119" s="47">
        <f t="shared" si="13"/>
      </c>
      <c r="X119" s="44" t="s">
        <v>44</v>
      </c>
      <c r="Y119" s="44" t="s">
        <v>44</v>
      </c>
      <c r="AA119" s="36" t="s">
        <v>63</v>
      </c>
      <c r="AB119" s="36" t="s">
        <v>122</v>
      </c>
    </row>
    <row r="120" spans="2:28" ht="12.75" hidden="1" outlineLevel="1">
      <c r="B120" s="55" t="s">
        <v>25</v>
      </c>
      <c r="C120" s="55"/>
      <c r="D120" s="55" t="s">
        <v>64</v>
      </c>
      <c r="E120" s="36">
        <v>2</v>
      </c>
      <c r="F120" s="56"/>
      <c r="G120" s="55"/>
      <c r="H120" s="43"/>
      <c r="I120" s="44" t="s">
        <v>24</v>
      </c>
      <c r="J120" s="56"/>
      <c r="K120" s="55"/>
      <c r="L120" s="43"/>
      <c r="M120" s="56"/>
      <c r="N120" s="55"/>
      <c r="O120" s="43"/>
      <c r="P120" s="57"/>
      <c r="Q120" s="36"/>
      <c r="R120" s="44" t="s">
        <v>23</v>
      </c>
      <c r="S120" s="36"/>
      <c r="T120" s="36"/>
      <c r="U120" s="44" t="s">
        <v>23</v>
      </c>
      <c r="V120" s="36"/>
      <c r="X120" s="44" t="s">
        <v>44</v>
      </c>
      <c r="Y120" s="44" t="s">
        <v>44</v>
      </c>
      <c r="AA120" s="36" t="s">
        <v>63</v>
      </c>
      <c r="AB120" s="36" t="s">
        <v>122</v>
      </c>
    </row>
    <row r="121" spans="2:28" ht="12.75" hidden="1" outlineLevel="1">
      <c r="B121" s="55"/>
      <c r="C121" s="55"/>
      <c r="D121" s="55" t="s">
        <v>65</v>
      </c>
      <c r="E121" s="36">
        <v>3</v>
      </c>
      <c r="F121" s="56"/>
      <c r="G121" s="55"/>
      <c r="H121" s="43"/>
      <c r="I121" s="44" t="s">
        <v>24</v>
      </c>
      <c r="J121" s="56"/>
      <c r="K121" s="55"/>
      <c r="L121" s="43"/>
      <c r="M121" s="56"/>
      <c r="N121" s="55"/>
      <c r="O121" s="43"/>
      <c r="P121" s="57"/>
      <c r="Q121" s="36"/>
      <c r="R121" s="44" t="s">
        <v>23</v>
      </c>
      <c r="S121" s="36"/>
      <c r="T121" s="36"/>
      <c r="U121" s="44" t="s">
        <v>23</v>
      </c>
      <c r="V121" s="36"/>
      <c r="X121" s="44" t="s">
        <v>44</v>
      </c>
      <c r="Y121" s="44" t="s">
        <v>44</v>
      </c>
      <c r="AA121" s="36" t="s">
        <v>63</v>
      </c>
      <c r="AB121" s="36" t="s">
        <v>122</v>
      </c>
    </row>
    <row r="122" spans="2:28" ht="12.75" hidden="1" outlineLevel="1">
      <c r="B122" s="48"/>
      <c r="C122" s="48"/>
      <c r="D122" s="48" t="s">
        <v>66</v>
      </c>
      <c r="E122" s="48">
        <v>4</v>
      </c>
      <c r="F122" s="49"/>
      <c r="G122" s="48"/>
      <c r="H122" s="50"/>
      <c r="I122" s="51" t="s">
        <v>24</v>
      </c>
      <c r="J122" s="49"/>
      <c r="K122" s="48"/>
      <c r="L122" s="50"/>
      <c r="M122" s="49"/>
      <c r="N122" s="48"/>
      <c r="O122" s="50"/>
      <c r="P122" s="52"/>
      <c r="Q122" s="48"/>
      <c r="R122" s="51" t="s">
        <v>23</v>
      </c>
      <c r="S122" s="48"/>
      <c r="T122" s="48"/>
      <c r="U122" s="51" t="s">
        <v>23</v>
      </c>
      <c r="V122" s="48"/>
      <c r="X122" s="51" t="s">
        <v>44</v>
      </c>
      <c r="Y122" s="51" t="s">
        <v>44</v>
      </c>
      <c r="AA122" s="36" t="s">
        <v>63</v>
      </c>
      <c r="AB122" s="36" t="s">
        <v>122</v>
      </c>
    </row>
    <row r="123" spans="2:28" ht="12.75" hidden="1" outlineLevel="1">
      <c r="B123" s="55" t="s">
        <v>67</v>
      </c>
      <c r="C123" s="55"/>
      <c r="D123" s="55" t="s">
        <v>68</v>
      </c>
      <c r="E123" s="36">
        <v>1</v>
      </c>
      <c r="F123" s="56"/>
      <c r="G123" s="55"/>
      <c r="H123" s="43"/>
      <c r="I123" s="44" t="s">
        <v>24</v>
      </c>
      <c r="J123" s="56"/>
      <c r="K123" s="55"/>
      <c r="L123" s="43"/>
      <c r="M123" s="56"/>
      <c r="N123" s="55"/>
      <c r="O123" s="43"/>
      <c r="P123" s="57"/>
      <c r="Q123" s="36"/>
      <c r="R123" s="44" t="s">
        <v>23</v>
      </c>
      <c r="S123" s="36"/>
      <c r="T123" s="46">
        <f>IF(Q123="","",IF(Q123&gt;S123,2,IF(Q123&lt;S123,0,1)))</f>
      </c>
      <c r="U123" s="44" t="s">
        <v>23</v>
      </c>
      <c r="V123" s="47">
        <f>IF(S123="","",IF(S123&gt;Q123,2,IF(S123&lt;Q123,0,1)))</f>
      </c>
      <c r="X123" s="44" t="s">
        <v>44</v>
      </c>
      <c r="Y123" s="44" t="s">
        <v>44</v>
      </c>
      <c r="AA123" s="36" t="s">
        <v>63</v>
      </c>
      <c r="AB123" s="36" t="s">
        <v>122</v>
      </c>
    </row>
    <row r="124" spans="2:28" ht="12.75" hidden="1" outlineLevel="1">
      <c r="B124" s="55" t="s">
        <v>25</v>
      </c>
      <c r="C124" s="55"/>
      <c r="D124" s="55" t="s">
        <v>69</v>
      </c>
      <c r="E124" s="36">
        <v>2</v>
      </c>
      <c r="F124" s="56"/>
      <c r="G124" s="55"/>
      <c r="H124" s="43"/>
      <c r="I124" s="44" t="s">
        <v>24</v>
      </c>
      <c r="J124" s="56"/>
      <c r="K124" s="55"/>
      <c r="L124" s="43"/>
      <c r="M124" s="56"/>
      <c r="N124" s="55"/>
      <c r="O124" s="43"/>
      <c r="P124" s="57"/>
      <c r="Q124" s="36"/>
      <c r="R124" s="44" t="s">
        <v>23</v>
      </c>
      <c r="S124" s="36"/>
      <c r="T124" s="36"/>
      <c r="U124" s="44" t="s">
        <v>23</v>
      </c>
      <c r="V124" s="36"/>
      <c r="X124" s="44" t="s">
        <v>44</v>
      </c>
      <c r="Y124" s="44" t="s">
        <v>44</v>
      </c>
      <c r="AA124" s="36" t="s">
        <v>63</v>
      </c>
      <c r="AB124" s="36" t="s">
        <v>122</v>
      </c>
    </row>
    <row r="125" spans="2:28" ht="12.75" hidden="1" outlineLevel="1">
      <c r="B125" s="55"/>
      <c r="C125" s="55"/>
      <c r="D125" s="55" t="s">
        <v>70</v>
      </c>
      <c r="E125" s="36">
        <v>3</v>
      </c>
      <c r="F125" s="56"/>
      <c r="G125" s="55"/>
      <c r="H125" s="43"/>
      <c r="I125" s="44" t="s">
        <v>24</v>
      </c>
      <c r="J125" s="56"/>
      <c r="K125" s="55"/>
      <c r="L125" s="43"/>
      <c r="M125" s="56"/>
      <c r="N125" s="55"/>
      <c r="O125" s="43"/>
      <c r="P125" s="57"/>
      <c r="Q125" s="36"/>
      <c r="R125" s="44" t="s">
        <v>23</v>
      </c>
      <c r="S125" s="36"/>
      <c r="T125" s="36"/>
      <c r="U125" s="44" t="s">
        <v>23</v>
      </c>
      <c r="V125" s="36"/>
      <c r="X125" s="44" t="s">
        <v>44</v>
      </c>
      <c r="Y125" s="44" t="s">
        <v>44</v>
      </c>
      <c r="AA125" s="36" t="s">
        <v>63</v>
      </c>
      <c r="AB125" s="36" t="s">
        <v>122</v>
      </c>
    </row>
    <row r="126" spans="2:28" ht="12.75" hidden="1" outlineLevel="1">
      <c r="B126" s="48"/>
      <c r="C126" s="48"/>
      <c r="D126" s="48" t="s">
        <v>71</v>
      </c>
      <c r="E126" s="48">
        <v>4</v>
      </c>
      <c r="F126" s="49"/>
      <c r="G126" s="48"/>
      <c r="H126" s="50"/>
      <c r="I126" s="51" t="s">
        <v>24</v>
      </c>
      <c r="J126" s="49"/>
      <c r="K126" s="48"/>
      <c r="L126" s="50"/>
      <c r="M126" s="49"/>
      <c r="N126" s="48"/>
      <c r="O126" s="50"/>
      <c r="P126" s="52"/>
      <c r="Q126" s="48"/>
      <c r="R126" s="51" t="s">
        <v>23</v>
      </c>
      <c r="S126" s="48"/>
      <c r="T126" s="48"/>
      <c r="U126" s="51" t="s">
        <v>23</v>
      </c>
      <c r="V126" s="48"/>
      <c r="X126" s="51" t="s">
        <v>44</v>
      </c>
      <c r="Y126" s="51" t="s">
        <v>44</v>
      </c>
      <c r="AA126" s="36" t="s">
        <v>63</v>
      </c>
      <c r="AB126" s="36" t="s">
        <v>122</v>
      </c>
    </row>
    <row r="127" spans="2:28" ht="12.75" hidden="1" outlineLevel="1">
      <c r="B127" s="55" t="s">
        <v>72</v>
      </c>
      <c r="C127" s="55"/>
      <c r="D127" s="55" t="s">
        <v>73</v>
      </c>
      <c r="E127" s="36">
        <v>1</v>
      </c>
      <c r="F127" s="56"/>
      <c r="G127" s="55"/>
      <c r="H127" s="43"/>
      <c r="I127" s="44" t="s">
        <v>24</v>
      </c>
      <c r="J127" s="56"/>
      <c r="K127" s="55"/>
      <c r="L127" s="43"/>
      <c r="M127" s="56"/>
      <c r="N127" s="55"/>
      <c r="O127" s="43"/>
      <c r="P127" s="57"/>
      <c r="Q127" s="36"/>
      <c r="R127" s="44" t="s">
        <v>23</v>
      </c>
      <c r="S127" s="36"/>
      <c r="T127" s="46">
        <f>IF(Q127="","",IF(Q127&gt;S127,2,IF(Q127&lt;S127,0,1)))</f>
      </c>
      <c r="U127" s="44" t="s">
        <v>23</v>
      </c>
      <c r="V127" s="47">
        <f>IF(S127="","",IF(S127&gt;Q127,2,IF(S127&lt;Q127,0,1)))</f>
      </c>
      <c r="X127" s="44" t="s">
        <v>44</v>
      </c>
      <c r="Y127" s="44" t="s">
        <v>44</v>
      </c>
      <c r="AA127" s="36" t="s">
        <v>63</v>
      </c>
      <c r="AB127" s="36" t="s">
        <v>122</v>
      </c>
    </row>
    <row r="128" spans="2:28" ht="12.75" hidden="1" outlineLevel="1">
      <c r="B128" s="55" t="s">
        <v>25</v>
      </c>
      <c r="C128" s="55"/>
      <c r="D128" s="55" t="s">
        <v>74</v>
      </c>
      <c r="E128" s="36">
        <v>2</v>
      </c>
      <c r="F128" s="56"/>
      <c r="G128" s="55"/>
      <c r="H128" s="43"/>
      <c r="I128" s="44" t="s">
        <v>24</v>
      </c>
      <c r="J128" s="56"/>
      <c r="K128" s="55"/>
      <c r="L128" s="43"/>
      <c r="M128" s="56"/>
      <c r="N128" s="55"/>
      <c r="O128" s="43"/>
      <c r="P128" s="57"/>
      <c r="Q128" s="36"/>
      <c r="R128" s="44" t="s">
        <v>23</v>
      </c>
      <c r="S128" s="36"/>
      <c r="T128" s="36"/>
      <c r="U128" s="44" t="s">
        <v>23</v>
      </c>
      <c r="V128" s="36"/>
      <c r="X128" s="44" t="s">
        <v>44</v>
      </c>
      <c r="Y128" s="44" t="s">
        <v>44</v>
      </c>
      <c r="AA128" s="36" t="s">
        <v>63</v>
      </c>
      <c r="AB128" s="36" t="s">
        <v>122</v>
      </c>
    </row>
    <row r="129" spans="2:28" ht="12.75" hidden="1" outlineLevel="1">
      <c r="B129" s="55"/>
      <c r="C129" s="55"/>
      <c r="D129" s="55" t="s">
        <v>75</v>
      </c>
      <c r="E129" s="36">
        <v>3</v>
      </c>
      <c r="F129" s="56"/>
      <c r="G129" s="55"/>
      <c r="H129" s="43"/>
      <c r="I129" s="44" t="s">
        <v>24</v>
      </c>
      <c r="J129" s="56"/>
      <c r="K129" s="55"/>
      <c r="L129" s="43"/>
      <c r="M129" s="56"/>
      <c r="N129" s="55"/>
      <c r="O129" s="43"/>
      <c r="P129" s="57"/>
      <c r="Q129" s="36"/>
      <c r="R129" s="44" t="s">
        <v>23</v>
      </c>
      <c r="S129" s="36"/>
      <c r="T129" s="36"/>
      <c r="U129" s="44" t="s">
        <v>23</v>
      </c>
      <c r="V129" s="36"/>
      <c r="X129" s="44" t="s">
        <v>44</v>
      </c>
      <c r="Y129" s="44" t="s">
        <v>44</v>
      </c>
      <c r="AA129" s="36" t="s">
        <v>63</v>
      </c>
      <c r="AB129" s="36" t="s">
        <v>122</v>
      </c>
    </row>
    <row r="130" spans="2:28" ht="12.75" hidden="1" outlineLevel="1">
      <c r="B130" s="48"/>
      <c r="C130" s="48"/>
      <c r="D130" s="48" t="s">
        <v>76</v>
      </c>
      <c r="E130" s="48">
        <v>4</v>
      </c>
      <c r="F130" s="49"/>
      <c r="G130" s="48"/>
      <c r="H130" s="50"/>
      <c r="I130" s="51" t="s">
        <v>24</v>
      </c>
      <c r="J130" s="49"/>
      <c r="K130" s="48"/>
      <c r="L130" s="50"/>
      <c r="M130" s="49"/>
      <c r="N130" s="48"/>
      <c r="O130" s="50"/>
      <c r="P130" s="52"/>
      <c r="Q130" s="48"/>
      <c r="R130" s="51" t="s">
        <v>23</v>
      </c>
      <c r="S130" s="48"/>
      <c r="T130" s="48"/>
      <c r="U130" s="51" t="s">
        <v>23</v>
      </c>
      <c r="V130" s="48"/>
      <c r="X130" s="51" t="s">
        <v>44</v>
      </c>
      <c r="Y130" s="51" t="s">
        <v>44</v>
      </c>
      <c r="AA130" s="36" t="s">
        <v>63</v>
      </c>
      <c r="AB130" s="36" t="s">
        <v>122</v>
      </c>
    </row>
    <row r="131" spans="2:28" ht="12.75" hidden="1" outlineLevel="1">
      <c r="B131" s="55" t="s">
        <v>77</v>
      </c>
      <c r="C131" s="55"/>
      <c r="D131" s="55" t="s">
        <v>78</v>
      </c>
      <c r="E131" s="36">
        <v>1</v>
      </c>
      <c r="F131" s="56"/>
      <c r="G131" s="55"/>
      <c r="H131" s="43"/>
      <c r="I131" s="44" t="s">
        <v>24</v>
      </c>
      <c r="J131" s="56"/>
      <c r="K131" s="55"/>
      <c r="L131" s="43"/>
      <c r="M131" s="56"/>
      <c r="N131" s="55"/>
      <c r="O131" s="43"/>
      <c r="P131" s="57"/>
      <c r="Q131" s="36"/>
      <c r="R131" s="44" t="s">
        <v>23</v>
      </c>
      <c r="S131" s="36"/>
      <c r="T131" s="46">
        <f>IF(Q131="","",IF(Q131&gt;S131,2,IF(Q131&lt;S131,0,1)))</f>
      </c>
      <c r="U131" s="44" t="s">
        <v>23</v>
      </c>
      <c r="V131" s="47">
        <f>IF(S131="","",IF(S131&gt;Q131,2,IF(S131&lt;Q131,0,1)))</f>
      </c>
      <c r="X131" s="44" t="s">
        <v>44</v>
      </c>
      <c r="Y131" s="44" t="s">
        <v>44</v>
      </c>
      <c r="AA131" s="36" t="s">
        <v>63</v>
      </c>
      <c r="AB131" s="36" t="s">
        <v>122</v>
      </c>
    </row>
    <row r="132" spans="2:28" ht="12.75" hidden="1" outlineLevel="1">
      <c r="B132" s="55" t="s">
        <v>25</v>
      </c>
      <c r="C132" s="55"/>
      <c r="D132" s="55" t="s">
        <v>79</v>
      </c>
      <c r="E132" s="36">
        <v>2</v>
      </c>
      <c r="F132" s="56"/>
      <c r="G132" s="55"/>
      <c r="H132" s="43"/>
      <c r="I132" s="44" t="s">
        <v>24</v>
      </c>
      <c r="J132" s="56"/>
      <c r="K132" s="55"/>
      <c r="L132" s="43"/>
      <c r="M132" s="56"/>
      <c r="N132" s="55"/>
      <c r="O132" s="43"/>
      <c r="P132" s="57"/>
      <c r="Q132" s="36"/>
      <c r="R132" s="44" t="s">
        <v>23</v>
      </c>
      <c r="S132" s="36"/>
      <c r="T132" s="36"/>
      <c r="U132" s="44" t="s">
        <v>23</v>
      </c>
      <c r="V132" s="36"/>
      <c r="X132" s="44" t="s">
        <v>44</v>
      </c>
      <c r="Y132" s="44" t="s">
        <v>44</v>
      </c>
      <c r="AA132" s="36" t="s">
        <v>63</v>
      </c>
      <c r="AB132" s="36" t="s">
        <v>122</v>
      </c>
    </row>
    <row r="133" spans="2:28" ht="12.75" hidden="1" outlineLevel="1">
      <c r="B133" s="55"/>
      <c r="C133" s="55"/>
      <c r="D133" s="55" t="s">
        <v>80</v>
      </c>
      <c r="E133" s="36">
        <v>3</v>
      </c>
      <c r="F133" s="56"/>
      <c r="G133" s="55"/>
      <c r="H133" s="43"/>
      <c r="I133" s="44" t="s">
        <v>24</v>
      </c>
      <c r="J133" s="56"/>
      <c r="K133" s="55"/>
      <c r="L133" s="43"/>
      <c r="M133" s="56"/>
      <c r="N133" s="55"/>
      <c r="O133" s="43"/>
      <c r="P133" s="57"/>
      <c r="Q133" s="36"/>
      <c r="R133" s="44" t="s">
        <v>23</v>
      </c>
      <c r="S133" s="36"/>
      <c r="T133" s="36"/>
      <c r="U133" s="44" t="s">
        <v>23</v>
      </c>
      <c r="V133" s="36"/>
      <c r="X133" s="44" t="s">
        <v>44</v>
      </c>
      <c r="Y133" s="44" t="s">
        <v>44</v>
      </c>
      <c r="AA133" s="36" t="s">
        <v>63</v>
      </c>
      <c r="AB133" s="36" t="s">
        <v>122</v>
      </c>
    </row>
    <row r="134" spans="2:28" ht="12.75" hidden="1" outlineLevel="1">
      <c r="B134" s="48"/>
      <c r="C134" s="48"/>
      <c r="D134" s="48" t="s">
        <v>81</v>
      </c>
      <c r="E134" s="48">
        <v>4</v>
      </c>
      <c r="F134" s="49"/>
      <c r="G134" s="48"/>
      <c r="H134" s="50"/>
      <c r="I134" s="51" t="s">
        <v>24</v>
      </c>
      <c r="J134" s="49"/>
      <c r="K134" s="48"/>
      <c r="L134" s="50"/>
      <c r="M134" s="49"/>
      <c r="N134" s="48"/>
      <c r="O134" s="50"/>
      <c r="P134" s="52"/>
      <c r="Q134" s="48"/>
      <c r="R134" s="51" t="s">
        <v>23</v>
      </c>
      <c r="S134" s="48"/>
      <c r="T134" s="48"/>
      <c r="U134" s="51" t="s">
        <v>23</v>
      </c>
      <c r="V134" s="48"/>
      <c r="X134" s="51" t="s">
        <v>44</v>
      </c>
      <c r="Y134" s="51" t="s">
        <v>44</v>
      </c>
      <c r="AA134" s="36" t="s">
        <v>63</v>
      </c>
      <c r="AB134" s="36" t="s">
        <v>122</v>
      </c>
    </row>
    <row r="135" spans="16:27" ht="12.75" collapsed="1">
      <c r="P135" s="58"/>
      <c r="AA135" s="36"/>
    </row>
    <row r="136" ht="12.75">
      <c r="AA136" s="36"/>
    </row>
    <row r="137" ht="12.75">
      <c r="AA137" s="36"/>
    </row>
    <row r="138" ht="12.75">
      <c r="AA138" s="36"/>
    </row>
    <row r="139" ht="12.75">
      <c r="AA139" s="36"/>
    </row>
    <row r="140" ht="12.75">
      <c r="AA140" s="36"/>
    </row>
    <row r="141" ht="12.75">
      <c r="AA141" s="36"/>
    </row>
    <row r="142" ht="12.75">
      <c r="AA142" s="36"/>
    </row>
    <row r="143" ht="12.75">
      <c r="AA143" s="36"/>
    </row>
    <row r="144" ht="12.75">
      <c r="AA144" s="36"/>
    </row>
    <row r="145" ht="12.75">
      <c r="AA145" s="36"/>
    </row>
    <row r="146" ht="12.75">
      <c r="AA146" s="36"/>
    </row>
    <row r="147" ht="12.75">
      <c r="AA147" s="36"/>
    </row>
    <row r="148" ht="12.75">
      <c r="AA148" s="36"/>
    </row>
    <row r="149" ht="12.75">
      <c r="AA149" s="36"/>
    </row>
    <row r="150" ht="12.75">
      <c r="AA150" s="36"/>
    </row>
    <row r="151" ht="12.75">
      <c r="AA151" s="36"/>
    </row>
    <row r="152" ht="12.75">
      <c r="AA152" s="36"/>
    </row>
    <row r="153" ht="12.75">
      <c r="AA153" s="36"/>
    </row>
    <row r="154" ht="12.75">
      <c r="AA154" s="36"/>
    </row>
    <row r="155" ht="12.75">
      <c r="AA155" s="36"/>
    </row>
    <row r="156" ht="12.75">
      <c r="AA156" s="36"/>
    </row>
    <row r="157" ht="12.75">
      <c r="AA157" s="36"/>
    </row>
    <row r="158" ht="12.75">
      <c r="AA158" s="36"/>
    </row>
    <row r="159" ht="12.75">
      <c r="AA159" s="36"/>
    </row>
    <row r="160" ht="12.75">
      <c r="AA160" s="36"/>
    </row>
    <row r="161" ht="12.75">
      <c r="AA161" s="36"/>
    </row>
    <row r="162" ht="12.75">
      <c r="AA162" s="36"/>
    </row>
    <row r="163" ht="12.75">
      <c r="AA163" s="36"/>
    </row>
  </sheetData>
  <printOptions horizontalCentered="1" verticalCentered="1"/>
  <pageMargins left="0.5118110236220472" right="0.1968503937007874" top="0.1968503937007874" bottom="0.3937007874015748" header="0.7086614173228347" footer="0.31496062992125984"/>
  <pageSetup horizontalDpi="300" verticalDpi="300" orientation="portrait" paperSize="9" r:id="rId1"/>
  <headerFooter alignWithMargins="0">
    <oddFooter>&amp;R&amp;6&amp;D; &amp;F, &amp;A</oddFooter>
  </headerFooter>
  <rowBreaks count="1" manualBreakCount="1">
    <brk id="78" max="6553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="75" zoomScaleNormal="75" workbookViewId="0" topLeftCell="A6">
      <selection activeCell="M50" sqref="M50"/>
    </sheetView>
  </sheetViews>
  <sheetFormatPr defaultColWidth="11.421875" defaultRowHeight="12.75" outlineLevelRow="1"/>
  <cols>
    <col min="1" max="1" width="2.00390625" style="28" customWidth="1"/>
    <col min="2" max="2" width="6.8515625" style="28" customWidth="1"/>
    <col min="3" max="3" width="24.7109375" style="28" customWidth="1"/>
    <col min="4" max="4" width="4.00390625" style="28" customWidth="1"/>
    <col min="5" max="5" width="1.7109375" style="28" customWidth="1"/>
    <col min="6" max="7" width="4.00390625" style="28" customWidth="1"/>
    <col min="8" max="8" width="1.7109375" style="28" customWidth="1"/>
    <col min="9" max="10" width="4.00390625" style="28" customWidth="1"/>
    <col min="11" max="11" width="1.7109375" style="28" customWidth="1"/>
    <col min="12" max="13" width="4.00390625" style="28" customWidth="1"/>
    <col min="14" max="14" width="1.7109375" style="28" customWidth="1"/>
    <col min="15" max="16" width="4.00390625" style="28" customWidth="1"/>
    <col min="17" max="17" width="1.7109375" style="28" customWidth="1"/>
    <col min="18" max="19" width="4.00390625" style="28" customWidth="1"/>
    <col min="20" max="20" width="1.7109375" style="28" customWidth="1"/>
    <col min="21" max="21" width="4.00390625" style="28" customWidth="1"/>
    <col min="22" max="22" width="4.7109375" style="28" customWidth="1"/>
    <col min="23" max="23" width="6.57421875" style="28" hidden="1" customWidth="1"/>
    <col min="24" max="24" width="4.00390625" style="28" customWidth="1"/>
    <col min="25" max="25" width="4.8515625" style="28" customWidth="1"/>
    <col min="26" max="26" width="1.7109375" style="28" customWidth="1"/>
    <col min="27" max="28" width="4.00390625" style="28" customWidth="1"/>
    <col min="29" max="29" width="1.7109375" style="28" customWidth="1"/>
    <col min="30" max="30" width="4.00390625" style="28" customWidth="1"/>
    <col min="31" max="16384" width="11.421875" style="28" customWidth="1"/>
  </cols>
  <sheetData>
    <row r="1" spans="1:22" s="30" customFormat="1" ht="24.75" customHeight="1">
      <c r="A1" s="153"/>
      <c r="B1" s="61" t="str">
        <f>+Daten!A1&amp;" "&amp;Daten!B1&amp;" "&amp;Daten!I1</f>
        <v>44. Deutsche Prellball Meisterschaften der Jugend 2007</v>
      </c>
      <c r="C1" s="154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2:22" ht="21.75" customHeight="1">
      <c r="B2" s="63" t="s">
        <v>20</v>
      </c>
      <c r="C2" s="64"/>
      <c r="D2" s="65"/>
      <c r="E2" s="66"/>
      <c r="F2" s="65"/>
      <c r="G2" s="67"/>
      <c r="H2" s="67"/>
      <c r="I2" s="67"/>
      <c r="J2" s="67"/>
      <c r="K2" s="67"/>
      <c r="L2" s="67"/>
      <c r="M2" s="67"/>
      <c r="N2" s="67"/>
      <c r="O2" s="63" t="str">
        <f>+Daten!C4</f>
        <v>weibl. Jugend 11-14</v>
      </c>
      <c r="P2" s="68"/>
      <c r="Q2" s="68"/>
      <c r="R2" s="68"/>
      <c r="S2" s="69"/>
      <c r="T2" s="69"/>
      <c r="U2" s="69"/>
      <c r="V2" s="64"/>
    </row>
    <row r="3" spans="2:22" ht="6.75" customHeight="1">
      <c r="B3" s="70"/>
      <c r="C3" s="67"/>
      <c r="D3" s="65"/>
      <c r="E3" s="66"/>
      <c r="F3" s="65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67"/>
      <c r="T3" s="67"/>
      <c r="U3" s="67"/>
      <c r="V3" s="67"/>
    </row>
    <row r="4" spans="2:29" ht="12.75" customHeight="1">
      <c r="B4" s="71"/>
      <c r="C4" s="72" t="str">
        <f>+Daten!C5</f>
        <v>Gruppe A</v>
      </c>
      <c r="D4" s="73"/>
      <c r="E4" s="181" t="str">
        <f>+C5</f>
        <v>TB Essen-Altendorf</v>
      </c>
      <c r="F4" s="182"/>
      <c r="G4" s="183"/>
      <c r="H4" s="181" t="str">
        <f>+C7</f>
        <v>PV Gundernhausen </v>
      </c>
      <c r="I4" s="184"/>
      <c r="J4" s="183"/>
      <c r="K4" s="181" t="str">
        <f>+C9</f>
        <v>SV Weiler</v>
      </c>
      <c r="L4" s="184"/>
      <c r="M4" s="183"/>
      <c r="N4" s="181" t="str">
        <f>+C11</f>
        <v>TV Freiburg St. Georgen</v>
      </c>
      <c r="O4" s="184"/>
      <c r="P4" s="183"/>
      <c r="Q4" s="181" t="str">
        <f>+C13</f>
        <v>TV Sottrum</v>
      </c>
      <c r="R4" s="184"/>
      <c r="S4" s="74"/>
      <c r="T4" s="76" t="s">
        <v>21</v>
      </c>
      <c r="U4" s="75"/>
      <c r="V4" s="77" t="s">
        <v>22</v>
      </c>
      <c r="AC4" s="78"/>
    </row>
    <row r="5" spans="2:28" ht="15" customHeight="1">
      <c r="B5" s="79" t="str">
        <f>IF(Daten!B6="","",Daten!B6)</f>
        <v>W2</v>
      </c>
      <c r="C5" s="80" t="str">
        <f>IF(Daten!C6="","",Daten!C6)</f>
        <v>TB Essen-Altendorf</v>
      </c>
      <c r="D5" s="81"/>
      <c r="E5" s="82"/>
      <c r="F5" s="83"/>
      <c r="G5" s="84">
        <f>IF(Samstag!$Q23="","",Samstag!$Q23)</f>
        <v>43</v>
      </c>
      <c r="H5" s="85" t="s">
        <v>23</v>
      </c>
      <c r="I5" s="86">
        <f>IF(Samstag!$S23="","",Samstag!$S23)</f>
        <v>22</v>
      </c>
      <c r="J5" s="84">
        <f>IF(Samstag!$Q35="","",Samstag!$Q35)</f>
        <v>44</v>
      </c>
      <c r="K5" s="85" t="s">
        <v>23</v>
      </c>
      <c r="L5" s="86">
        <f>IF(Samstag!$S35="","",Samstag!$S35)</f>
        <v>22</v>
      </c>
      <c r="M5" s="84">
        <f>IF(Samstag!$Q47="","",Samstag!$Q47)</f>
        <v>42</v>
      </c>
      <c r="N5" s="85" t="s">
        <v>23</v>
      </c>
      <c r="O5" s="86">
        <f>IF(Samstag!$S47="","",Samstag!$S47)</f>
        <v>28</v>
      </c>
      <c r="P5" s="84">
        <f>IF(Samstag!$Q59="","",Samstag!$Q59)</f>
        <v>30</v>
      </c>
      <c r="Q5" s="85" t="s">
        <v>23</v>
      </c>
      <c r="R5" s="86">
        <f>IF(Samstag!$S59="","",Samstag!$S59)</f>
        <v>35</v>
      </c>
      <c r="S5" s="84">
        <f>IF(X6="","",SUM(D5,G5,J5,M5,P5))</f>
        <v>159</v>
      </c>
      <c r="T5" s="85" t="s">
        <v>23</v>
      </c>
      <c r="U5" s="86">
        <f>IF(X6="","",SUM(F5,I5,L5,O5,R5))</f>
        <v>107</v>
      </c>
      <c r="V5" s="87">
        <f>IF(X5="","",RANK(W6,($W$6,$W$8,$W$10,$W$12,$W$14),0))</f>
        <v>2</v>
      </c>
      <c r="X5" s="34" t="s">
        <v>165</v>
      </c>
      <c r="AA5" s="28">
        <v>1</v>
      </c>
      <c r="AB5" s="28" t="str">
        <f>IF(V5="","",IF($V$5=1,$C$5,IF($V$7=1,$C$7,IF($V$9=1,$C$9,IF($V$11=1,$C$11,IF($V$13=1,$C$13,0))))))</f>
        <v>TV Sottrum</v>
      </c>
    </row>
    <row r="6" spans="2:24" ht="10.5" customHeight="1">
      <c r="B6" s="88"/>
      <c r="C6" s="89"/>
      <c r="D6" s="90"/>
      <c r="E6" s="91"/>
      <c r="F6" s="92"/>
      <c r="G6" s="93">
        <f>IF(G5="","",IF(G5&gt;I5,2,IF(G5&lt;I5,0,1)))</f>
        <v>2</v>
      </c>
      <c r="H6" s="51" t="s">
        <v>24</v>
      </c>
      <c r="I6" s="94">
        <f>IF(I5="","",IF(I5&gt;G5,2,IF(I5&lt;G5,0,1)))</f>
        <v>0</v>
      </c>
      <c r="J6" s="93">
        <f>IF(J5="","",IF(J5&gt;L5,2,IF(J5&lt;L5,0,1)))</f>
        <v>2</v>
      </c>
      <c r="K6" s="51" t="s">
        <v>24</v>
      </c>
      <c r="L6" s="94">
        <f>IF(L5="","",IF(L5&gt;J5,2,IF(L5&lt;J5,0,1)))</f>
        <v>0</v>
      </c>
      <c r="M6" s="93">
        <f>IF(M5="","",IF(M5&gt;O5,2,IF(M5&lt;O5,0,1)))</f>
        <v>2</v>
      </c>
      <c r="N6" s="51" t="s">
        <v>24</v>
      </c>
      <c r="O6" s="94">
        <f>IF(O5="","",IF(O5&gt;M5,2,IF(O5&lt;M5,0,1)))</f>
        <v>0</v>
      </c>
      <c r="P6" s="93">
        <f>IF(P5="","",IF(P5&gt;R5,2,IF(P5&lt;R5,0,1)))</f>
        <v>0</v>
      </c>
      <c r="Q6" s="51" t="s">
        <v>24</v>
      </c>
      <c r="R6" s="94">
        <f>IF(R5="","",IF(R5&gt;P5,2,IF(R5&lt;P5,0,1)))</f>
        <v>2</v>
      </c>
      <c r="S6" s="93">
        <f>IF(X6="","",SUM(D6,G6,J6,M6,P6))</f>
        <v>6</v>
      </c>
      <c r="T6" s="51" t="s">
        <v>24</v>
      </c>
      <c r="U6" s="94">
        <f>IF(X6="","",SUM(F6,I6,L6,O6,R6))</f>
        <v>2</v>
      </c>
      <c r="V6" s="95"/>
      <c r="W6" s="96">
        <f>+(S6-U6)+S5/U5+S6</f>
        <v>11.485981308411215</v>
      </c>
      <c r="X6" s="34" t="s">
        <v>165</v>
      </c>
    </row>
    <row r="7" spans="2:28" ht="15" customHeight="1">
      <c r="B7" s="79" t="str">
        <f>IF(Daten!B7="","",Daten!B7)</f>
        <v>W4</v>
      </c>
      <c r="C7" s="80" t="str">
        <f>IF(Daten!C7="","",Daten!C7)</f>
        <v>PV Gundernhausen </v>
      </c>
      <c r="D7" s="84">
        <f>IF(I5="","",I5)</f>
        <v>22</v>
      </c>
      <c r="E7" s="85" t="s">
        <v>23</v>
      </c>
      <c r="F7" s="86">
        <f>IF(G5="","",G5)</f>
        <v>43</v>
      </c>
      <c r="G7" s="81"/>
      <c r="H7" s="82"/>
      <c r="I7" s="83"/>
      <c r="J7" s="84">
        <f>IF(Samstag!$Q43="","",Samstag!$Q43)</f>
        <v>42</v>
      </c>
      <c r="K7" s="85" t="s">
        <v>23</v>
      </c>
      <c r="L7" s="86">
        <f>IF(Samstag!$S43="","",Samstag!$S43)</f>
        <v>32</v>
      </c>
      <c r="M7" s="84">
        <f>IF(Samstag!$Q55="","",Samstag!$Q55)</f>
        <v>37</v>
      </c>
      <c r="N7" s="85" t="s">
        <v>23</v>
      </c>
      <c r="O7" s="86">
        <f>IF(Samstag!$S55="","",Samstag!$S55)</f>
        <v>26</v>
      </c>
      <c r="P7" s="84">
        <f>IF(Samstag!$Q31="","",Samstag!$Q31)</f>
        <v>27</v>
      </c>
      <c r="Q7" s="85" t="s">
        <v>23</v>
      </c>
      <c r="R7" s="86">
        <f>IF(Samstag!$S31="","",Samstag!$S31)</f>
        <v>35</v>
      </c>
      <c r="S7" s="84">
        <f>IF(X8="","",SUM(D7,G7,J7,M7,P7))</f>
        <v>128</v>
      </c>
      <c r="T7" s="85" t="s">
        <v>23</v>
      </c>
      <c r="U7" s="86">
        <f>IF(X8="","",SUM(F7,I7,L7,O7,R7))</f>
        <v>136</v>
      </c>
      <c r="V7" s="97">
        <f>IF(X7="","",RANK(W8,($W$6,$W$8,$W$10,$W$12,$W$14),0))</f>
        <v>3</v>
      </c>
      <c r="X7" s="34" t="s">
        <v>165</v>
      </c>
      <c r="AA7" s="28">
        <v>2</v>
      </c>
      <c r="AB7" s="28" t="str">
        <f>IF(V7="","",IF($V$5=2,$C$5,IF($V$7=2,$C$7,IF($V$9=2,$C$9,IF($V$11=2,$C$11,IF($V$13=2,$C$13,0))))))</f>
        <v>TB Essen-Altendorf</v>
      </c>
    </row>
    <row r="8" spans="2:24" ht="10.5" customHeight="1">
      <c r="B8" s="88"/>
      <c r="C8" s="89"/>
      <c r="D8" s="93">
        <f>IF(D7="","",IF(D7&gt;F7,2,IF(D7&lt;F7,0,1)))</f>
        <v>0</v>
      </c>
      <c r="E8" s="51" t="s">
        <v>24</v>
      </c>
      <c r="F8" s="94">
        <f>IF(F7="","",IF(F7&gt;D7,2,IF(F7&lt;D7,0,1)))</f>
        <v>2</v>
      </c>
      <c r="G8" s="90"/>
      <c r="H8" s="91"/>
      <c r="I8" s="92"/>
      <c r="J8" s="93">
        <f>IF(J7="","",IF(J7&gt;L7,2,IF(J7&lt;L7,0,1)))</f>
        <v>2</v>
      </c>
      <c r="K8" s="51" t="s">
        <v>24</v>
      </c>
      <c r="L8" s="94">
        <f>IF(L7="","",IF(L7&gt;J7,2,IF(L7&lt;J7,0,1)))</f>
        <v>0</v>
      </c>
      <c r="M8" s="93">
        <f>IF(M7="","",IF(M7&gt;O7,2,IF(M7&lt;O7,0,1)))</f>
        <v>2</v>
      </c>
      <c r="N8" s="51" t="s">
        <v>24</v>
      </c>
      <c r="O8" s="94">
        <f>IF(O7="","",IF(O7&gt;M7,2,IF(O7&lt;M7,0,1)))</f>
        <v>0</v>
      </c>
      <c r="P8" s="93">
        <f>IF(P7="","",IF(P7&gt;R7,2,IF(P7&lt;R7,0,1)))</f>
        <v>0</v>
      </c>
      <c r="Q8" s="51" t="s">
        <v>24</v>
      </c>
      <c r="R8" s="94">
        <f>IF(R7="","",IF(R7&gt;P7,2,IF(R7&lt;P7,0,1)))</f>
        <v>2</v>
      </c>
      <c r="S8" s="93">
        <f>IF(X8="","",SUM(D8,G8,J8,M8,P8))</f>
        <v>4</v>
      </c>
      <c r="T8" s="51" t="s">
        <v>24</v>
      </c>
      <c r="U8" s="94">
        <f>IF(X8="","",SUM(F8,I8,L8,O8,R8))</f>
        <v>4</v>
      </c>
      <c r="V8" s="95"/>
      <c r="W8" s="96">
        <f>+(S8-U8)+S7/U7+S8</f>
        <v>4.9411764705882355</v>
      </c>
      <c r="X8" s="34" t="s">
        <v>165</v>
      </c>
    </row>
    <row r="9" spans="2:28" ht="15" customHeight="1">
      <c r="B9" s="79" t="str">
        <f>IF(Daten!B8="","",Daten!B8)</f>
        <v>S3</v>
      </c>
      <c r="C9" s="80" t="str">
        <f>IF(Daten!C8="","",Daten!C8)</f>
        <v>SV Weiler</v>
      </c>
      <c r="D9" s="84">
        <f>IF(L5="","",L5)</f>
        <v>22</v>
      </c>
      <c r="E9" s="85" t="s">
        <v>23</v>
      </c>
      <c r="F9" s="86">
        <f>IF(J5="","",J5)</f>
        <v>44</v>
      </c>
      <c r="G9" s="84">
        <f>IF(L7="","",L7)</f>
        <v>32</v>
      </c>
      <c r="H9" s="85" t="s">
        <v>23</v>
      </c>
      <c r="I9" s="86">
        <f>IF(J7="","",J7)</f>
        <v>42</v>
      </c>
      <c r="J9" s="81"/>
      <c r="K9" s="82"/>
      <c r="L9" s="83"/>
      <c r="M9" s="84">
        <f>IF(Samstag!$Q27="","",Samstag!$Q27)</f>
        <v>31</v>
      </c>
      <c r="N9" s="85" t="s">
        <v>23</v>
      </c>
      <c r="O9" s="86">
        <f>IF(Samstag!$S27="","",Samstag!$S27)</f>
        <v>39</v>
      </c>
      <c r="P9" s="84">
        <f>IF(Samstag!$Q51="","",Samstag!$Q51)</f>
        <v>19</v>
      </c>
      <c r="Q9" s="85" t="s">
        <v>23</v>
      </c>
      <c r="R9" s="86">
        <f>IF(Samstag!$S51="","",Samstag!$S51)</f>
        <v>41</v>
      </c>
      <c r="S9" s="84">
        <f>IF(X10="","",SUM(D9,G9,J9,M9,P9))</f>
        <v>104</v>
      </c>
      <c r="T9" s="85" t="s">
        <v>23</v>
      </c>
      <c r="U9" s="86">
        <f>IF(X10="","",SUM(F9,I9,L9,O9,R9))</f>
        <v>166</v>
      </c>
      <c r="V9" s="97">
        <f>IF(X9="","",RANK(W10,($W$6,$W$8,$W$10,$W$12,$W$14),0))</f>
        <v>5</v>
      </c>
      <c r="X9" s="34" t="s">
        <v>165</v>
      </c>
      <c r="AA9" s="28">
        <v>3</v>
      </c>
      <c r="AB9" s="28" t="str">
        <f>IF(V9="","",IF($V$5=3,$C$5,IF($V$7=3,$C$7,IF($V$9=3,$C$9,IF($V$11=3,$C$11,IF($V$13=3,$C$13,0))))))</f>
        <v>PV Gundernhausen </v>
      </c>
    </row>
    <row r="10" spans="2:24" ht="10.5" customHeight="1">
      <c r="B10" s="98"/>
      <c r="C10" s="89"/>
      <c r="D10" s="93">
        <f>IF(D9="","",IF(D9&gt;F9,2,IF(D9&lt;F9,0,1)))</f>
        <v>0</v>
      </c>
      <c r="E10" s="51" t="s">
        <v>24</v>
      </c>
      <c r="F10" s="94">
        <f>IF(F9="","",IF(F9&gt;D9,2,IF(F9&lt;D9,0,1)))</f>
        <v>2</v>
      </c>
      <c r="G10" s="93">
        <f>IF(G9="","",IF(G9&gt;I9,2,IF(G9&lt;I9,0,1)))</f>
        <v>0</v>
      </c>
      <c r="H10" s="51" t="s">
        <v>24</v>
      </c>
      <c r="I10" s="94">
        <f>IF(I9="","",IF(I9&gt;G9,2,IF(I9&lt;G9,0,1)))</f>
        <v>2</v>
      </c>
      <c r="J10" s="90"/>
      <c r="K10" s="91"/>
      <c r="L10" s="92"/>
      <c r="M10" s="93">
        <f>IF(M9="","",IF(M9&gt;O9,2,IF(M9&lt;O9,0,1)))</f>
        <v>0</v>
      </c>
      <c r="N10" s="51" t="s">
        <v>24</v>
      </c>
      <c r="O10" s="94">
        <f>IF(O9="","",IF(O9&gt;M9,2,IF(O9&lt;M9,0,1)))</f>
        <v>2</v>
      </c>
      <c r="P10" s="93">
        <f>IF(P9="","",IF(P9&gt;R9,2,IF(P9&lt;R9,0,1)))</f>
        <v>0</v>
      </c>
      <c r="Q10" s="51" t="s">
        <v>24</v>
      </c>
      <c r="R10" s="94">
        <f>IF(R9="","",IF(R9&gt;P9,2,IF(R9&lt;P9,0,1)))</f>
        <v>2</v>
      </c>
      <c r="S10" s="93">
        <f>IF(X10="","",SUM(D10,G10,J10,M10,P10))</f>
        <v>0</v>
      </c>
      <c r="T10" s="51" t="s">
        <v>24</v>
      </c>
      <c r="U10" s="94">
        <f>IF(X10="","",SUM(F10,I10,L10,O10,R10))</f>
        <v>8</v>
      </c>
      <c r="V10" s="95"/>
      <c r="W10" s="96">
        <f>+(S10-U10)+S9/U9+S10</f>
        <v>-7.373493975903615</v>
      </c>
      <c r="X10" s="34" t="s">
        <v>165</v>
      </c>
    </row>
    <row r="11" spans="2:28" ht="15" customHeight="1">
      <c r="B11" s="79" t="str">
        <f>IF(Daten!B9="","",Daten!B9)</f>
        <v>S1</v>
      </c>
      <c r="C11" s="80" t="str">
        <f>IF(Daten!C9="","",Daten!C9)</f>
        <v>TV Freiburg St. Georgen</v>
      </c>
      <c r="D11" s="84">
        <f>IF(O5="","",O5)</f>
        <v>28</v>
      </c>
      <c r="E11" s="85" t="s">
        <v>23</v>
      </c>
      <c r="F11" s="86">
        <f>IF(M5="","",M5)</f>
        <v>42</v>
      </c>
      <c r="G11" s="84">
        <f>IF(O7="","",O7)</f>
        <v>26</v>
      </c>
      <c r="H11" s="85" t="s">
        <v>23</v>
      </c>
      <c r="I11" s="86">
        <f>IF(M7="","",M7)</f>
        <v>37</v>
      </c>
      <c r="J11" s="84">
        <f>IF(O9="","",O9)</f>
        <v>39</v>
      </c>
      <c r="K11" s="85" t="s">
        <v>23</v>
      </c>
      <c r="L11" s="86">
        <f>IF(M9="","",M9)</f>
        <v>31</v>
      </c>
      <c r="M11" s="81"/>
      <c r="N11" s="82"/>
      <c r="O11" s="83"/>
      <c r="P11" s="84">
        <f>IF(Samstag!$Q39="","",Samstag!$Q39)</f>
        <v>31</v>
      </c>
      <c r="Q11" s="85" t="s">
        <v>23</v>
      </c>
      <c r="R11" s="86">
        <f>IF(Samstag!$S39="","",Samstag!$S39)</f>
        <v>33</v>
      </c>
      <c r="S11" s="84">
        <f>IF(X12="","",SUM(D11,G11,J11,M11,P11))</f>
        <v>124</v>
      </c>
      <c r="T11" s="85" t="s">
        <v>23</v>
      </c>
      <c r="U11" s="86">
        <f>IF(X12="","",SUM(F11,I11,L11,O11,R11))</f>
        <v>143</v>
      </c>
      <c r="V11" s="97">
        <f>IF(X11="","",RANK(W12,($W$6,$W$8,$W$10,$W$12,$W$14),0))</f>
        <v>4</v>
      </c>
      <c r="X11" s="34" t="s">
        <v>165</v>
      </c>
      <c r="AA11" s="28">
        <v>4</v>
      </c>
      <c r="AB11" s="28" t="str">
        <f>IF(V11="","",IF($V$5=4,$C$5,IF($V$7=4,$C$7,IF($V$9=4,$C$9,IF($V$11=4,$C$11,IF($V$13=4,$C$13,0))))))</f>
        <v>TV Freiburg St. Georgen</v>
      </c>
    </row>
    <row r="12" spans="2:24" ht="10.5" customHeight="1">
      <c r="B12" s="98"/>
      <c r="C12" s="89"/>
      <c r="D12" s="93">
        <f>IF(D11="","",IF(D11&gt;F11,2,IF(D11&lt;F11,0,1)))</f>
        <v>0</v>
      </c>
      <c r="E12" s="51" t="s">
        <v>24</v>
      </c>
      <c r="F12" s="94">
        <f>IF(F11="","",IF(F11&gt;D11,2,IF(F11&lt;D11,0,1)))</f>
        <v>2</v>
      </c>
      <c r="G12" s="93">
        <f>IF(G11="","",IF(G11&gt;I11,2,IF(G11&lt;I11,0,1)))</f>
        <v>0</v>
      </c>
      <c r="H12" s="51" t="s">
        <v>24</v>
      </c>
      <c r="I12" s="94">
        <f>IF(I11="","",IF(I11&gt;G11,2,IF(I11&lt;G11,0,1)))</f>
        <v>2</v>
      </c>
      <c r="J12" s="93">
        <f>IF(J11="","",IF(J11&gt;L11,2,IF(J11&lt;L11,0,1)))</f>
        <v>2</v>
      </c>
      <c r="K12" s="51" t="s">
        <v>24</v>
      </c>
      <c r="L12" s="94">
        <f>IF(L11="","",IF(L11&gt;J11,2,IF(L11&lt;J11,0,1)))</f>
        <v>0</v>
      </c>
      <c r="M12" s="90"/>
      <c r="N12" s="91"/>
      <c r="O12" s="92"/>
      <c r="P12" s="93">
        <f>IF(P11="","",IF(P11&gt;R11,2,IF(P11&lt;R11,0,1)))</f>
        <v>0</v>
      </c>
      <c r="Q12" s="51" t="s">
        <v>24</v>
      </c>
      <c r="R12" s="94">
        <f>IF(R11="","",IF(R11&gt;P11,2,IF(R11&lt;P11,0,1)))</f>
        <v>2</v>
      </c>
      <c r="S12" s="93">
        <f>IF(X12="","",SUM(D12,G12,J12,M12,P12))</f>
        <v>2</v>
      </c>
      <c r="T12" s="51" t="s">
        <v>24</v>
      </c>
      <c r="U12" s="94">
        <f>IF(X12="","",SUM(F12,I12,L12,O12,R12))</f>
        <v>6</v>
      </c>
      <c r="V12" s="95"/>
      <c r="W12" s="96">
        <f>+(S12-U12)+S11/U11+S12</f>
        <v>-1.132867132867133</v>
      </c>
      <c r="X12" s="34" t="s">
        <v>165</v>
      </c>
    </row>
    <row r="13" spans="2:28" ht="15" customHeight="1">
      <c r="B13" s="79" t="str">
        <f>IF(Daten!B10="","",Daten!B10)</f>
        <v>N1</v>
      </c>
      <c r="C13" s="80" t="str">
        <f>IF(Daten!C10="","",Daten!C10)</f>
        <v>TV Sottrum</v>
      </c>
      <c r="D13" s="84">
        <f>IF(R5="","",R5)</f>
        <v>35</v>
      </c>
      <c r="E13" s="85" t="s">
        <v>23</v>
      </c>
      <c r="F13" s="86">
        <f>IF(P5="","",P5)</f>
        <v>30</v>
      </c>
      <c r="G13" s="84">
        <f>IF(R7="","",R7)</f>
        <v>35</v>
      </c>
      <c r="H13" s="85" t="s">
        <v>23</v>
      </c>
      <c r="I13" s="86">
        <f>IF(P7="","",P7)</f>
        <v>27</v>
      </c>
      <c r="J13" s="84">
        <f>IF(R9="","",R9)</f>
        <v>41</v>
      </c>
      <c r="K13" s="85" t="s">
        <v>23</v>
      </c>
      <c r="L13" s="86">
        <f>IF(P9="","",P9)</f>
        <v>19</v>
      </c>
      <c r="M13" s="84">
        <f>IF(R11="","",R11)</f>
        <v>33</v>
      </c>
      <c r="N13" s="85" t="s">
        <v>23</v>
      </c>
      <c r="O13" s="86">
        <f>IF(P11="","",P11)</f>
        <v>31</v>
      </c>
      <c r="P13" s="81"/>
      <c r="Q13" s="82"/>
      <c r="R13" s="83"/>
      <c r="S13" s="84">
        <f>IF(X14="","",SUM(D13,G13,J13,M13,P13))</f>
        <v>144</v>
      </c>
      <c r="T13" s="85" t="s">
        <v>23</v>
      </c>
      <c r="U13" s="86">
        <f>IF(X14="","",SUM(F13,I13,L13,O13,R13))</f>
        <v>107</v>
      </c>
      <c r="V13" s="97">
        <f>IF(X13="","",RANK(W14,($W$6,$W$8,$W$10,$W$12,$W$14),0))</f>
        <v>1</v>
      </c>
      <c r="X13" s="34" t="s">
        <v>165</v>
      </c>
      <c r="AA13" s="28">
        <v>5</v>
      </c>
      <c r="AB13" s="28" t="str">
        <f>IF(V13="","",IF($V$5=5,$C$5,IF($V$7=5,$C$7,IF($V$9=5,$C$9,IF($V$11=5,$C$11,IF($V$13=5,$C$13,0))))))</f>
        <v>SV Weiler</v>
      </c>
    </row>
    <row r="14" spans="2:24" ht="10.5" customHeight="1">
      <c r="B14" s="98"/>
      <c r="C14" s="99"/>
      <c r="D14" s="93">
        <f>IF(D13="","",IF(D13&gt;F13,2,IF(D13&lt;F13,0,1)))</f>
        <v>2</v>
      </c>
      <c r="E14" s="51" t="s">
        <v>24</v>
      </c>
      <c r="F14" s="94">
        <f>IF(F13="","",IF(F13&gt;D13,2,IF(F13&lt;D13,0,1)))</f>
        <v>0</v>
      </c>
      <c r="G14" s="93">
        <f>IF(G13="","",IF(G13&gt;I13,2,IF(G13&lt;I13,0,1)))</f>
        <v>2</v>
      </c>
      <c r="H14" s="51" t="s">
        <v>24</v>
      </c>
      <c r="I14" s="94">
        <f>IF(I13="","",IF(I13&gt;G13,2,IF(I13&lt;G13,0,1)))</f>
        <v>0</v>
      </c>
      <c r="J14" s="93">
        <f>IF(J13="","",IF(J13&gt;L13,2,IF(J13&lt;L13,0,1)))</f>
        <v>2</v>
      </c>
      <c r="K14" s="51" t="s">
        <v>24</v>
      </c>
      <c r="L14" s="94">
        <f>IF(L13="","",IF(L13&gt;J13,2,IF(L13&lt;J13,0,1)))</f>
        <v>0</v>
      </c>
      <c r="M14" s="93">
        <f>IF(M13="","",IF(M13&gt;O13,2,IF(M13&lt;O13,0,1)))</f>
        <v>2</v>
      </c>
      <c r="N14" s="51" t="s">
        <v>24</v>
      </c>
      <c r="O14" s="94">
        <f>IF(O13="","",IF(O13&gt;M13,2,IF(O13&lt;M13,0,1)))</f>
        <v>0</v>
      </c>
      <c r="P14" s="90"/>
      <c r="Q14" s="91"/>
      <c r="R14" s="92"/>
      <c r="S14" s="93">
        <f>IF(X14="","",SUM(D14,G14,J14,M14,P14))</f>
        <v>8</v>
      </c>
      <c r="T14" s="51" t="s">
        <v>24</v>
      </c>
      <c r="U14" s="94">
        <f>IF(X14="","",SUM(F14,I14,L14,O14,R14))</f>
        <v>0</v>
      </c>
      <c r="V14" s="95"/>
      <c r="W14" s="96">
        <f>+(S14-U14)+S13/U13+S14</f>
        <v>17.345794392523366</v>
      </c>
      <c r="X14" s="34" t="s">
        <v>165</v>
      </c>
    </row>
    <row r="15" spans="2:24" ht="9.75" customHeight="1">
      <c r="B15" s="100"/>
      <c r="C15" s="100"/>
      <c r="D15" s="101"/>
      <c r="E15" s="85"/>
      <c r="F15" s="102"/>
      <c r="G15" s="101"/>
      <c r="H15" s="85"/>
      <c r="I15" s="102"/>
      <c r="J15" s="101"/>
      <c r="K15" s="85"/>
      <c r="L15" s="102"/>
      <c r="M15" s="101"/>
      <c r="N15" s="85"/>
      <c r="O15" s="102"/>
      <c r="P15" s="103"/>
      <c r="Q15" s="103"/>
      <c r="R15" s="103"/>
      <c r="S15" s="101"/>
      <c r="T15" s="85"/>
      <c r="U15" s="102"/>
      <c r="V15" s="104"/>
      <c r="W15" s="96"/>
      <c r="X15" s="34"/>
    </row>
    <row r="16" spans="2:24" ht="9.75" customHeight="1" outlineLevel="1">
      <c r="B16" s="105" t="s">
        <v>25</v>
      </c>
      <c r="C16" s="106" t="str">
        <f>+C5</f>
        <v>TB Essen-Altendorf</v>
      </c>
      <c r="D16" s="107"/>
      <c r="E16" s="108"/>
      <c r="F16" s="109"/>
      <c r="G16" s="110"/>
      <c r="H16" s="111" t="s">
        <v>23</v>
      </c>
      <c r="I16" s="112"/>
      <c r="J16" s="110"/>
      <c r="K16" s="111" t="s">
        <v>23</v>
      </c>
      <c r="L16" s="112"/>
      <c r="M16" s="110"/>
      <c r="N16" s="111" t="s">
        <v>23</v>
      </c>
      <c r="O16" s="112"/>
      <c r="P16" s="113"/>
      <c r="Q16" s="111" t="s">
        <v>23</v>
      </c>
      <c r="R16" s="114"/>
      <c r="S16" s="55"/>
      <c r="T16" s="115"/>
      <c r="U16" s="116"/>
      <c r="V16" s="31"/>
      <c r="W16" s="96"/>
      <c r="X16" s="34"/>
    </row>
    <row r="17" spans="2:24" ht="9.75" customHeight="1" outlineLevel="1">
      <c r="B17" s="117"/>
      <c r="C17" s="106" t="str">
        <f>+C7</f>
        <v>PV Gundernhausen </v>
      </c>
      <c r="D17" s="110">
        <f>IF(I16="","",I16)</f>
      </c>
      <c r="E17" s="111" t="s">
        <v>23</v>
      </c>
      <c r="F17" s="112">
        <f>IF(G16="","",G16)</f>
      </c>
      <c r="G17" s="107"/>
      <c r="H17" s="108"/>
      <c r="I17" s="109"/>
      <c r="J17" s="110"/>
      <c r="K17" s="111" t="s">
        <v>23</v>
      </c>
      <c r="L17" s="112"/>
      <c r="M17" s="110"/>
      <c r="N17" s="111" t="s">
        <v>23</v>
      </c>
      <c r="O17" s="112"/>
      <c r="P17" s="113"/>
      <c r="Q17" s="111" t="s">
        <v>23</v>
      </c>
      <c r="R17" s="114"/>
      <c r="S17" s="55"/>
      <c r="T17" s="115"/>
      <c r="U17" s="116"/>
      <c r="V17" s="31"/>
      <c r="W17" s="96"/>
      <c r="X17" s="34"/>
    </row>
    <row r="18" spans="2:24" ht="9.75" customHeight="1" outlineLevel="1">
      <c r="B18" s="117"/>
      <c r="C18" s="106" t="str">
        <f>+C9</f>
        <v>SV Weiler</v>
      </c>
      <c r="D18" s="110">
        <f>IF(L16="","",L16)</f>
      </c>
      <c r="E18" s="111" t="s">
        <v>23</v>
      </c>
      <c r="F18" s="112">
        <f>IF(J16="","",J16)</f>
      </c>
      <c r="G18" s="110">
        <f>IF(L17="","",L17)</f>
      </c>
      <c r="H18" s="111" t="s">
        <v>23</v>
      </c>
      <c r="I18" s="112">
        <f>IF(J17="","",J17)</f>
      </c>
      <c r="J18" s="107"/>
      <c r="K18" s="108"/>
      <c r="L18" s="109"/>
      <c r="M18" s="110"/>
      <c r="N18" s="111" t="s">
        <v>23</v>
      </c>
      <c r="O18" s="112"/>
      <c r="P18" s="113"/>
      <c r="Q18" s="111" t="s">
        <v>23</v>
      </c>
      <c r="R18" s="114"/>
      <c r="S18" s="55"/>
      <c r="T18" s="115"/>
      <c r="U18" s="116"/>
      <c r="V18" s="31"/>
      <c r="W18" s="96"/>
      <c r="X18" s="34"/>
    </row>
    <row r="19" spans="2:24" ht="9.75" customHeight="1" outlineLevel="1">
      <c r="B19" s="117"/>
      <c r="C19" s="106" t="str">
        <f>+C11</f>
        <v>TV Freiburg St. Georgen</v>
      </c>
      <c r="D19" s="110">
        <f>IF(O16="","",O16)</f>
      </c>
      <c r="E19" s="111" t="s">
        <v>23</v>
      </c>
      <c r="F19" s="112">
        <f>IF(M16="","",M16)</f>
      </c>
      <c r="G19" s="110">
        <f>IF(O17="","",O17)</f>
      </c>
      <c r="H19" s="111" t="s">
        <v>23</v>
      </c>
      <c r="I19" s="112">
        <f>IF(M17="","",M17)</f>
      </c>
      <c r="J19" s="110">
        <f>IF(O18="","",O18)</f>
      </c>
      <c r="K19" s="111" t="s">
        <v>23</v>
      </c>
      <c r="L19" s="112">
        <f>IF(M18="","",M18)</f>
      </c>
      <c r="M19" s="107"/>
      <c r="N19" s="108"/>
      <c r="O19" s="109"/>
      <c r="P19" s="113"/>
      <c r="Q19" s="111" t="s">
        <v>23</v>
      </c>
      <c r="R19" s="114"/>
      <c r="S19" s="55"/>
      <c r="T19" s="115"/>
      <c r="U19" s="116"/>
      <c r="V19" s="31"/>
      <c r="W19" s="96"/>
      <c r="X19" s="34"/>
    </row>
    <row r="20" spans="2:24" ht="9.75" customHeight="1" outlineLevel="1">
      <c r="B20" s="117"/>
      <c r="C20" s="106" t="str">
        <f>+C13</f>
        <v>TV Sottrum</v>
      </c>
      <c r="D20" s="110">
        <f>IF(R16="","",R16)</f>
      </c>
      <c r="E20" s="111" t="s">
        <v>23</v>
      </c>
      <c r="F20" s="112">
        <f>IF(P16="","",P16)</f>
      </c>
      <c r="G20" s="110">
        <f>IF(R17="","",R17)</f>
      </c>
      <c r="H20" s="111" t="s">
        <v>23</v>
      </c>
      <c r="I20" s="112">
        <f>IF(P17="","",P17)</f>
      </c>
      <c r="J20" s="110">
        <f>IF(R18="","",R18)</f>
      </c>
      <c r="K20" s="111" t="s">
        <v>23</v>
      </c>
      <c r="L20" s="112">
        <f>IF(P18="","",P18)</f>
      </c>
      <c r="M20" s="110">
        <f>IF(R19="","",R19)</f>
      </c>
      <c r="N20" s="111" t="s">
        <v>23</v>
      </c>
      <c r="O20" s="112">
        <f>IF(P19="","",P19)</f>
      </c>
      <c r="P20" s="107"/>
      <c r="Q20" s="108"/>
      <c r="R20" s="109"/>
      <c r="S20" s="55"/>
      <c r="T20" s="115"/>
      <c r="U20" s="116"/>
      <c r="V20" s="31"/>
      <c r="W20" s="96"/>
      <c r="X20" s="34"/>
    </row>
    <row r="21" ht="12.75"/>
    <row r="22" spans="2:22" ht="12.75" customHeight="1">
      <c r="B22" s="118"/>
      <c r="C22" s="119" t="str">
        <f>+Daten!F5</f>
        <v>Gruppe B</v>
      </c>
      <c r="D22" s="183"/>
      <c r="E22" s="181" t="str">
        <f>+C23</f>
        <v>TV Hochneukirch</v>
      </c>
      <c r="F22" s="184"/>
      <c r="G22" s="183"/>
      <c r="H22" s="181" t="str">
        <f>+C25</f>
        <v>TV Zeilhard </v>
      </c>
      <c r="I22" s="184"/>
      <c r="J22" s="183"/>
      <c r="K22" s="181" t="str">
        <f>+C27</f>
        <v>Vegesacker TV</v>
      </c>
      <c r="L22" s="184"/>
      <c r="M22" s="183"/>
      <c r="N22" s="181" t="str">
        <f>+C29</f>
        <v>BTV Charlottenburg</v>
      </c>
      <c r="O22" s="184"/>
      <c r="P22" s="183"/>
      <c r="Q22" s="181" t="str">
        <f>+C31</f>
        <v>VfL Waiblingen</v>
      </c>
      <c r="R22" s="184"/>
      <c r="S22" s="74"/>
      <c r="T22" s="76" t="s">
        <v>21</v>
      </c>
      <c r="U22" s="75"/>
      <c r="V22" s="77" t="s">
        <v>22</v>
      </c>
    </row>
    <row r="23" spans="2:28" ht="15" customHeight="1">
      <c r="B23" s="79" t="str">
        <f>IF(Daten!E6="","",Daten!E6)</f>
        <v>W3</v>
      </c>
      <c r="C23" s="80" t="str">
        <f>IF(Daten!F6="","",Daten!F6)</f>
        <v>TV Hochneukirch</v>
      </c>
      <c r="D23" s="81"/>
      <c r="E23" s="82"/>
      <c r="F23" s="83"/>
      <c r="G23" s="84">
        <f>IF(Samstag!$Q24="","",Samstag!$Q24)</f>
        <v>24</v>
      </c>
      <c r="H23" s="85" t="s">
        <v>23</v>
      </c>
      <c r="I23" s="86">
        <f>IF(Samstag!$S24="","",Samstag!$S24)</f>
        <v>45</v>
      </c>
      <c r="J23" s="84">
        <f>IF(Samstag!$Q44="","",Samstag!$Q44)</f>
        <v>31</v>
      </c>
      <c r="K23" s="85" t="s">
        <v>23</v>
      </c>
      <c r="L23" s="86">
        <f>IF(Samstag!$S44="","",Samstag!$S44)</f>
        <v>38</v>
      </c>
      <c r="M23" s="84">
        <f>IF(Samstag!$Q56="","",Samstag!$Q56)</f>
        <v>28</v>
      </c>
      <c r="N23" s="85" t="s">
        <v>23</v>
      </c>
      <c r="O23" s="86">
        <f>IF(Samstag!$S56="","",Samstag!$S56)</f>
        <v>34</v>
      </c>
      <c r="P23" s="84">
        <f>IF(Samstag!$Q32="","",Samstag!$Q32)</f>
        <v>39</v>
      </c>
      <c r="Q23" s="85" t="s">
        <v>23</v>
      </c>
      <c r="R23" s="86">
        <f>IF(Samstag!$S32="","",Samstag!$S32)</f>
        <v>29</v>
      </c>
      <c r="S23" s="84">
        <f>IF(X24="","",SUM(D23,G23,J23,M23,P23))</f>
        <v>122</v>
      </c>
      <c r="T23" s="85" t="s">
        <v>23</v>
      </c>
      <c r="U23" s="86">
        <f>IF(X24="","",SUM(F23,I23,L23,O23,R23))</f>
        <v>146</v>
      </c>
      <c r="V23" s="87">
        <f>IF(X23="","",RANK(W24,($W$24,$W$26,$W$28,$W$30,$W$32),0))</f>
        <v>4</v>
      </c>
      <c r="X23" s="34" t="s">
        <v>165</v>
      </c>
      <c r="AA23" s="28">
        <v>1</v>
      </c>
      <c r="AB23" s="28" t="str">
        <f>IF(V23="","",IF($V$23=1,$C$23,IF($V$25=1,$C$25,IF($V$27=1,$C$27,IF($V$29=1,$C$29,IF($V$31=1,$C$31,0))))))</f>
        <v>Vegesacker TV</v>
      </c>
    </row>
    <row r="24" spans="2:24" ht="10.5" customHeight="1">
      <c r="B24" s="120"/>
      <c r="C24" s="121"/>
      <c r="D24" s="90"/>
      <c r="E24" s="91"/>
      <c r="F24" s="92"/>
      <c r="G24" s="93">
        <f>IF(G23="","",IF(G23&gt;I23,2,IF(G23&lt;I23,0,1)))</f>
        <v>0</v>
      </c>
      <c r="H24" s="51" t="s">
        <v>24</v>
      </c>
      <c r="I24" s="94">
        <f>IF(I23="","",IF(I23&gt;G23,2,IF(I23&lt;G23,0,1)))</f>
        <v>2</v>
      </c>
      <c r="J24" s="93">
        <f>IF(J23="","",IF(J23&gt;L23,2,IF(J23&lt;L23,0,1)))</f>
        <v>0</v>
      </c>
      <c r="K24" s="51" t="s">
        <v>24</v>
      </c>
      <c r="L24" s="94">
        <f>IF(L23="","",IF(L23&gt;J23,2,IF(L23&lt;J23,0,1)))</f>
        <v>2</v>
      </c>
      <c r="M24" s="93">
        <f>IF(M23="","",IF(M23&gt;O23,2,IF(M23&lt;O23,0,1)))</f>
        <v>0</v>
      </c>
      <c r="N24" s="51" t="s">
        <v>24</v>
      </c>
      <c r="O24" s="94">
        <f>IF(O23="","",IF(O23&gt;M23,2,IF(O23&lt;M23,0,1)))</f>
        <v>2</v>
      </c>
      <c r="P24" s="93">
        <f>IF(P23="","",IF(P23&gt;R23,2,IF(P23&lt;R23,0,1)))</f>
        <v>2</v>
      </c>
      <c r="Q24" s="51" t="s">
        <v>24</v>
      </c>
      <c r="R24" s="94">
        <f>IF(R23="","",IF(R23&gt;P23,2,IF(R23&lt;P23,0,1)))</f>
        <v>0</v>
      </c>
      <c r="S24" s="93">
        <f>IF(X24="","",SUM(D24,G24,J24,M24,P24))</f>
        <v>2</v>
      </c>
      <c r="T24" s="51" t="s">
        <v>24</v>
      </c>
      <c r="U24" s="94">
        <f>IF(X24="","",SUM(F24,I24,L24,O24,R24))</f>
        <v>6</v>
      </c>
      <c r="V24" s="95"/>
      <c r="W24" s="96">
        <f>+(S24-U24)+S23/U23+S24</f>
        <v>-1.1643835616438354</v>
      </c>
      <c r="X24" s="34" t="s">
        <v>165</v>
      </c>
    </row>
    <row r="25" spans="2:28" ht="15" customHeight="1">
      <c r="B25" s="79" t="str">
        <f>IF(Daten!E7="","",Daten!E7)</f>
        <v>W1</v>
      </c>
      <c r="C25" s="80" t="str">
        <f>IF(Daten!F7="","",Daten!F7)</f>
        <v>TV Zeilhard </v>
      </c>
      <c r="D25" s="84">
        <f>IF(I23="","",I23)</f>
        <v>45</v>
      </c>
      <c r="E25" s="85" t="s">
        <v>23</v>
      </c>
      <c r="F25" s="86">
        <f>IF(G23="","",G23)</f>
        <v>24</v>
      </c>
      <c r="G25" s="81"/>
      <c r="H25" s="82"/>
      <c r="I25" s="83"/>
      <c r="J25" s="84">
        <f>IF(Samstag!$Q36="","",Samstag!$Q36)</f>
        <v>31</v>
      </c>
      <c r="K25" s="85" t="s">
        <v>23</v>
      </c>
      <c r="L25" s="86">
        <f>IF(Samstag!$S36="","",Samstag!$S36)</f>
        <v>31</v>
      </c>
      <c r="M25" s="84">
        <f>IF(Samstag!$Q48="","",Samstag!$Q48)</f>
        <v>34</v>
      </c>
      <c r="N25" s="85" t="s">
        <v>23</v>
      </c>
      <c r="O25" s="86">
        <f>IF(Samstag!$S48="","",Samstag!$S48)</f>
        <v>23</v>
      </c>
      <c r="P25" s="84">
        <f>IF(Samstag!$Q60="","",Samstag!$Q60)</f>
        <v>49</v>
      </c>
      <c r="Q25" s="85" t="s">
        <v>23</v>
      </c>
      <c r="R25" s="86">
        <f>IF(Samstag!$S60="","",Samstag!$S60)</f>
        <v>18</v>
      </c>
      <c r="S25" s="84">
        <f>IF(X26="","",SUM(D25,G25,J25,M25,P25))</f>
        <v>159</v>
      </c>
      <c r="T25" s="85" t="s">
        <v>23</v>
      </c>
      <c r="U25" s="86">
        <f>IF(X26="","",SUM(F25,I25,L25,O25,R25))</f>
        <v>96</v>
      </c>
      <c r="V25" s="97">
        <v>2</v>
      </c>
      <c r="X25" s="34" t="s">
        <v>165</v>
      </c>
      <c r="AA25" s="28">
        <v>2</v>
      </c>
      <c r="AB25" s="28" t="str">
        <f>IF(V25="","",IF($V$23=2,$C$23,IF($V$25=2,$C$25,IF($V$27=2,$C$27,IF($V$29=2,$C$29,IF($V$31=2,$C$31,0))))))</f>
        <v>TV Zeilhard </v>
      </c>
    </row>
    <row r="26" spans="2:24" ht="10.5" customHeight="1">
      <c r="B26" s="120"/>
      <c r="C26" s="121"/>
      <c r="D26" s="93">
        <f>IF(D25="","",IF(D25&gt;F25,2,IF(D25&lt;F25,0,1)))</f>
        <v>2</v>
      </c>
      <c r="E26" s="51" t="s">
        <v>24</v>
      </c>
      <c r="F26" s="94">
        <f>IF(F25="","",IF(F25&gt;D25,2,IF(F25&lt;D25,0,1)))</f>
        <v>0</v>
      </c>
      <c r="G26" s="90"/>
      <c r="H26" s="91"/>
      <c r="I26" s="92"/>
      <c r="J26" s="93">
        <f>IF(J25="","",IF(J25&gt;L25,2,IF(J25&lt;L25,0,1)))</f>
        <v>1</v>
      </c>
      <c r="K26" s="51" t="s">
        <v>24</v>
      </c>
      <c r="L26" s="94">
        <f>IF(L25="","",IF(L25&gt;J25,2,IF(L25&lt;J25,0,1)))</f>
        <v>1</v>
      </c>
      <c r="M26" s="93">
        <f>IF(M25="","",IF(M25&gt;O25,2,IF(M25&lt;O25,0,1)))</f>
        <v>2</v>
      </c>
      <c r="N26" s="51" t="s">
        <v>24</v>
      </c>
      <c r="O26" s="94">
        <f>IF(O25="","",IF(O25&gt;M25,2,IF(O25&lt;M25,0,1)))</f>
        <v>0</v>
      </c>
      <c r="P26" s="93">
        <f>IF(P25="","",IF(P25&gt;R25,2,IF(P25&lt;R25,0,1)))</f>
        <v>2</v>
      </c>
      <c r="Q26" s="51" t="s">
        <v>24</v>
      </c>
      <c r="R26" s="94">
        <f>IF(R25="","",IF(R25&gt;P25,2,IF(R25&lt;P25,0,1)))</f>
        <v>0</v>
      </c>
      <c r="S26" s="93">
        <f>IF(X26="","",SUM(D26,G26,J26,M26,P26))</f>
        <v>7</v>
      </c>
      <c r="T26" s="51" t="s">
        <v>24</v>
      </c>
      <c r="U26" s="94">
        <f>IF(X26="","",SUM(F26,I26,L26,O26,R26))</f>
        <v>1</v>
      </c>
      <c r="V26" s="95"/>
      <c r="W26" s="96">
        <f>+(S26-U26)+S25/U25+S26</f>
        <v>14.65625</v>
      </c>
      <c r="X26" s="34" t="s">
        <v>165</v>
      </c>
    </row>
    <row r="27" spans="2:28" ht="15" customHeight="1">
      <c r="B27" s="79" t="str">
        <f>IF(Daten!E8="","",Daten!E8)</f>
        <v>N3</v>
      </c>
      <c r="C27" s="80" t="str">
        <f>IF(Daten!F8="","",Daten!F8)</f>
        <v>Vegesacker TV</v>
      </c>
      <c r="D27" s="84">
        <f>IF(L23="","",L23)</f>
        <v>38</v>
      </c>
      <c r="E27" s="85" t="s">
        <v>23</v>
      </c>
      <c r="F27" s="86">
        <f>IF(J23="","",J23)</f>
        <v>31</v>
      </c>
      <c r="G27" s="84">
        <f>IF(L25="","",L25)</f>
        <v>31</v>
      </c>
      <c r="H27" s="85" t="s">
        <v>23</v>
      </c>
      <c r="I27" s="86">
        <f>IF(J25="","",J25)</f>
        <v>31</v>
      </c>
      <c r="J27" s="81"/>
      <c r="K27" s="82"/>
      <c r="L27" s="83"/>
      <c r="M27" s="84">
        <f>IF(Samstag!$Q28="","",Samstag!$Q28)</f>
        <v>35</v>
      </c>
      <c r="N27" s="85" t="s">
        <v>23</v>
      </c>
      <c r="O27" s="86">
        <f>IF(Samstag!$S28="","",Samstag!$S28)</f>
        <v>27</v>
      </c>
      <c r="P27" s="84">
        <f>IF(Samstag!$Q52="","",Samstag!$Q52)</f>
        <v>46</v>
      </c>
      <c r="Q27" s="85" t="s">
        <v>23</v>
      </c>
      <c r="R27" s="86">
        <f>IF(Samstag!$S52="","",Samstag!$S52)</f>
        <v>21</v>
      </c>
      <c r="S27" s="84">
        <f>IF(X28="","",SUM(D27,G27,J27,M27,P27))</f>
        <v>150</v>
      </c>
      <c r="T27" s="85" t="s">
        <v>23</v>
      </c>
      <c r="U27" s="86">
        <f>IF(X28="","",SUM(F27,I27,L27,O27,R27))</f>
        <v>110</v>
      </c>
      <c r="V27" s="97">
        <v>1</v>
      </c>
      <c r="X27" s="34" t="s">
        <v>165</v>
      </c>
      <c r="AA27" s="28">
        <v>3</v>
      </c>
      <c r="AB27" s="28" t="str">
        <f>IF(V27="","",IF($V$23=3,$C$23,IF($V$25=3,$C$25,IF($V$27=3,$C$27,IF($V$29=3,$C$29,IF($V$31=3,$C$31,0))))))</f>
        <v>BTV Charlottenburg</v>
      </c>
    </row>
    <row r="28" spans="2:24" ht="10.5" customHeight="1">
      <c r="B28" s="122"/>
      <c r="C28" s="123"/>
      <c r="D28" s="93">
        <f>IF(D27="","",IF(D27&gt;F27,2,IF(D27&lt;F27,0,1)))</f>
        <v>2</v>
      </c>
      <c r="E28" s="51" t="s">
        <v>24</v>
      </c>
      <c r="F28" s="94">
        <f>IF(F27="","",IF(F27&gt;D27,2,IF(F27&lt;D27,0,1)))</f>
        <v>0</v>
      </c>
      <c r="G28" s="93">
        <f>IF(G27="","",IF(G27&gt;I27,2,IF(G27&lt;I27,0,1)))</f>
        <v>1</v>
      </c>
      <c r="H28" s="51" t="s">
        <v>24</v>
      </c>
      <c r="I28" s="94">
        <f>IF(I27="","",IF(I27&gt;G27,2,IF(I27&lt;G27,0,1)))</f>
        <v>1</v>
      </c>
      <c r="J28" s="90"/>
      <c r="K28" s="91"/>
      <c r="L28" s="92"/>
      <c r="M28" s="93">
        <f>IF(M27="","",IF(M27&gt;O27,2,IF(M27&lt;O27,0,1)))</f>
        <v>2</v>
      </c>
      <c r="N28" s="51" t="s">
        <v>24</v>
      </c>
      <c r="O28" s="94">
        <f>IF(O27="","",IF(O27&gt;M27,2,IF(O27&lt;M27,0,1)))</f>
        <v>0</v>
      </c>
      <c r="P28" s="93">
        <f>IF(P27="","",IF(P27&gt;R27,2,IF(P27&lt;R27,0,1)))</f>
        <v>2</v>
      </c>
      <c r="Q28" s="51" t="s">
        <v>24</v>
      </c>
      <c r="R28" s="94">
        <f>IF(R27="","",IF(R27&gt;P27,2,IF(R27&lt;P27,0,1)))</f>
        <v>0</v>
      </c>
      <c r="S28" s="93">
        <f>IF(X28="","",SUM(D28,G28,J28,M28,P28))</f>
        <v>7</v>
      </c>
      <c r="T28" s="51" t="s">
        <v>24</v>
      </c>
      <c r="U28" s="94">
        <f>IF(X28="","",SUM(F28,I28,L28,O28,R28))</f>
        <v>1</v>
      </c>
      <c r="V28" s="95"/>
      <c r="W28" s="96">
        <f>+(S28-U28)+S27/U27+S28</f>
        <v>14.363636363636363</v>
      </c>
      <c r="X28" s="34" t="s">
        <v>165</v>
      </c>
    </row>
    <row r="29" spans="2:28" ht="15" customHeight="1">
      <c r="B29" s="79" t="str">
        <f>IF(Daten!E9="","",Daten!E9)</f>
        <v>N2</v>
      </c>
      <c r="C29" s="80" t="str">
        <f>IF(Daten!F9="","",Daten!F9)</f>
        <v>BTV Charlottenburg</v>
      </c>
      <c r="D29" s="84">
        <f>IF(O23="","",O23)</f>
        <v>34</v>
      </c>
      <c r="E29" s="85" t="s">
        <v>23</v>
      </c>
      <c r="F29" s="86">
        <f>IF(M23="","",M23)</f>
        <v>28</v>
      </c>
      <c r="G29" s="84">
        <f>IF(O25="","",O25)</f>
        <v>23</v>
      </c>
      <c r="H29" s="85" t="s">
        <v>23</v>
      </c>
      <c r="I29" s="86">
        <f>IF(M25="","",M25)</f>
        <v>34</v>
      </c>
      <c r="J29" s="84">
        <f>IF(O27="","",O27)</f>
        <v>27</v>
      </c>
      <c r="K29" s="85" t="s">
        <v>23</v>
      </c>
      <c r="L29" s="86">
        <f>IF(M27="","",M27)</f>
        <v>35</v>
      </c>
      <c r="M29" s="81"/>
      <c r="N29" s="82"/>
      <c r="O29" s="83"/>
      <c r="P29" s="84">
        <f>IF(Samstag!$Q40="","",Samstag!$Q40)</f>
        <v>42</v>
      </c>
      <c r="Q29" s="85" t="s">
        <v>23</v>
      </c>
      <c r="R29" s="86">
        <f>IF(Samstag!$S40="","",Samstag!$S40)</f>
        <v>13</v>
      </c>
      <c r="S29" s="84">
        <f>IF(X30="","",SUM(D29,G29,J29,M29,P29))</f>
        <v>126</v>
      </c>
      <c r="T29" s="85" t="s">
        <v>23</v>
      </c>
      <c r="U29" s="86">
        <f>IF(X30="","",SUM(F29,I29,L29,O29,R29))</f>
        <v>110</v>
      </c>
      <c r="V29" s="97">
        <f>IF(X29="","",RANK(W30,($W$24,$W$26,$W$28,$W$30,$W$32),0))</f>
        <v>3</v>
      </c>
      <c r="X29" s="34" t="s">
        <v>165</v>
      </c>
      <c r="AA29" s="28">
        <v>4</v>
      </c>
      <c r="AB29" s="28" t="str">
        <f>IF(V29="","",IF($V$23=4,$C$23,IF($V$25=4,$C$25,IF($V$27=4,$C$27,IF($V$29=4,$C$29,IF($V$31=4,$C$31,0))))))</f>
        <v>TV Hochneukirch</v>
      </c>
    </row>
    <row r="30" spans="2:24" ht="10.5" customHeight="1">
      <c r="B30" s="120"/>
      <c r="C30" s="123"/>
      <c r="D30" s="93">
        <f>IF(D29="","",IF(D29&gt;F29,2,IF(D29&lt;F29,0,1)))</f>
        <v>2</v>
      </c>
      <c r="E30" s="51" t="s">
        <v>24</v>
      </c>
      <c r="F30" s="94">
        <f>IF(F29="","",IF(F29&gt;D29,2,IF(F29&lt;D29,0,1)))</f>
        <v>0</v>
      </c>
      <c r="G30" s="93">
        <f>IF(G29="","",IF(G29&gt;I29,2,IF(G29&lt;I29,0,1)))</f>
        <v>0</v>
      </c>
      <c r="H30" s="51" t="s">
        <v>24</v>
      </c>
      <c r="I30" s="94">
        <f>IF(I29="","",IF(I29&gt;G29,2,IF(I29&lt;G29,0,1)))</f>
        <v>2</v>
      </c>
      <c r="J30" s="93">
        <f>IF(J29="","",IF(J29&gt;L29,2,IF(J29&lt;L29,0,1)))</f>
        <v>0</v>
      </c>
      <c r="K30" s="51" t="s">
        <v>24</v>
      </c>
      <c r="L30" s="94">
        <f>IF(L29="","",IF(L29&gt;J29,2,IF(L29&lt;J29,0,1)))</f>
        <v>2</v>
      </c>
      <c r="M30" s="90"/>
      <c r="N30" s="91"/>
      <c r="O30" s="92"/>
      <c r="P30" s="93">
        <f>IF(P29="","",IF(P29&gt;R29,2,IF(P29&lt;R29,0,1)))</f>
        <v>2</v>
      </c>
      <c r="Q30" s="51" t="s">
        <v>24</v>
      </c>
      <c r="R30" s="94">
        <f>IF(R29="","",IF(R29&gt;P29,2,IF(R29&lt;P29,0,1)))</f>
        <v>0</v>
      </c>
      <c r="S30" s="93">
        <f>IF(X30="","",SUM(D30,G30,J30,M30,P30))</f>
        <v>4</v>
      </c>
      <c r="T30" s="51" t="s">
        <v>24</v>
      </c>
      <c r="U30" s="94">
        <f>IF(X30="","",SUM(F30,I30,L30,O30,R30))</f>
        <v>4</v>
      </c>
      <c r="V30" s="95"/>
      <c r="W30" s="96">
        <f>+(S30-U30)+S29/U29+S30</f>
        <v>5.1454545454545455</v>
      </c>
      <c r="X30" s="34" t="s">
        <v>165</v>
      </c>
    </row>
    <row r="31" spans="2:28" ht="15" customHeight="1">
      <c r="B31" s="79" t="str">
        <f>IF(Daten!E10="","",Daten!E10)</f>
        <v>S2</v>
      </c>
      <c r="C31" s="80" t="str">
        <f>IF(Daten!F10="","",Daten!F10)</f>
        <v>VfL Waiblingen</v>
      </c>
      <c r="D31" s="84">
        <f>IF(R23="","",R23)</f>
        <v>29</v>
      </c>
      <c r="E31" s="85" t="s">
        <v>23</v>
      </c>
      <c r="F31" s="86">
        <f>IF(P23="","",P23)</f>
        <v>39</v>
      </c>
      <c r="G31" s="84">
        <f>IF(R25="","",R25)</f>
        <v>18</v>
      </c>
      <c r="H31" s="85" t="s">
        <v>23</v>
      </c>
      <c r="I31" s="86">
        <f>IF(P25="","",P25)</f>
        <v>49</v>
      </c>
      <c r="J31" s="84">
        <f>IF(R27="","",R27)</f>
        <v>21</v>
      </c>
      <c r="K31" s="85" t="s">
        <v>23</v>
      </c>
      <c r="L31" s="86">
        <f>IF(P27="","",P27)</f>
        <v>46</v>
      </c>
      <c r="M31" s="84">
        <f>IF(R29="","",R29)</f>
        <v>13</v>
      </c>
      <c r="N31" s="85" t="s">
        <v>23</v>
      </c>
      <c r="O31" s="86">
        <f>IF(P29="","",P29)</f>
        <v>42</v>
      </c>
      <c r="P31" s="81"/>
      <c r="Q31" s="82"/>
      <c r="R31" s="83"/>
      <c r="S31" s="84">
        <f>IF(X32="","",SUM(D31,G31,J31,M31,P31))</f>
        <v>81</v>
      </c>
      <c r="T31" s="85" t="s">
        <v>23</v>
      </c>
      <c r="U31" s="86">
        <f>IF(X32="","",SUM(F31,I31,L31,O31,R31))</f>
        <v>176</v>
      </c>
      <c r="V31" s="97">
        <f>IF(X31="","",RANK(W32,($W$24,$W$26,$W$28,$W$30,$W$32),0))</f>
        <v>5</v>
      </c>
      <c r="X31" s="34" t="s">
        <v>165</v>
      </c>
      <c r="AA31" s="28">
        <v>5</v>
      </c>
      <c r="AB31" s="28" t="str">
        <f>IF(V31="","",IF($V$23=5,$C$23,IF($V$25=5,$C$25,IF($V$27=5,$C$27,IF($V$29=5,$C$29,IF($V$31=5,$C$31,0))))))</f>
        <v>VfL Waiblingen</v>
      </c>
    </row>
    <row r="32" spans="2:24" ht="10.5" customHeight="1">
      <c r="B32" s="122"/>
      <c r="C32" s="123"/>
      <c r="D32" s="93">
        <f>IF(D31="","",IF(D31&gt;F31,2,IF(D31&lt;F31,0,1)))</f>
        <v>0</v>
      </c>
      <c r="E32" s="51" t="s">
        <v>24</v>
      </c>
      <c r="F32" s="94">
        <f>IF(F31="","",IF(F31&gt;D31,2,IF(F31&lt;D31,0,1)))</f>
        <v>2</v>
      </c>
      <c r="G32" s="93">
        <f>IF(G31="","",IF(G31&gt;I31,2,IF(G31&lt;I31,0,1)))</f>
        <v>0</v>
      </c>
      <c r="H32" s="51" t="s">
        <v>24</v>
      </c>
      <c r="I32" s="94">
        <f>IF(I31="","",IF(I31&gt;G31,2,IF(I31&lt;G31,0,1)))</f>
        <v>2</v>
      </c>
      <c r="J32" s="93">
        <f>IF(J31="","",IF(J31&gt;L31,2,IF(J31&lt;L31,0,1)))</f>
        <v>0</v>
      </c>
      <c r="K32" s="51" t="s">
        <v>24</v>
      </c>
      <c r="L32" s="94">
        <f>IF(L31="","",IF(L31&gt;J31,2,IF(L31&lt;J31,0,1)))</f>
        <v>2</v>
      </c>
      <c r="M32" s="93">
        <f>IF(M31="","",IF(M31&gt;O31,2,IF(M31&lt;O31,0,1)))</f>
        <v>0</v>
      </c>
      <c r="N32" s="51" t="s">
        <v>24</v>
      </c>
      <c r="O32" s="94">
        <f>IF(O31="","",IF(O31&gt;M31,2,IF(O31&lt;M31,0,1)))</f>
        <v>2</v>
      </c>
      <c r="P32" s="90"/>
      <c r="Q32" s="91"/>
      <c r="R32" s="92"/>
      <c r="S32" s="93">
        <f>IF(X32="","",SUM(D32,G32,J32,M32,P32))</f>
        <v>0</v>
      </c>
      <c r="T32" s="51" t="s">
        <v>24</v>
      </c>
      <c r="U32" s="94">
        <f>IF(X32="","",SUM(F32,I32,L32,O32,R32))</f>
        <v>8</v>
      </c>
      <c r="V32" s="95"/>
      <c r="W32" s="96">
        <f>+(S32-U32)+S31/U31+S32</f>
        <v>-7.5397727272727275</v>
      </c>
      <c r="X32" s="34" t="s">
        <v>165</v>
      </c>
    </row>
    <row r="33" spans="2:24" ht="9.75" customHeight="1">
      <c r="B33" s="100"/>
      <c r="C33" s="100"/>
      <c r="D33" s="101"/>
      <c r="E33" s="85"/>
      <c r="F33" s="102"/>
      <c r="G33" s="101"/>
      <c r="H33" s="85"/>
      <c r="I33" s="102"/>
      <c r="J33" s="101"/>
      <c r="K33" s="85"/>
      <c r="L33" s="102"/>
      <c r="M33" s="101"/>
      <c r="N33" s="85"/>
      <c r="O33" s="102"/>
      <c r="P33" s="103"/>
      <c r="Q33" s="103"/>
      <c r="R33" s="103"/>
      <c r="S33" s="101"/>
      <c r="T33" s="85"/>
      <c r="U33" s="102"/>
      <c r="V33" s="104"/>
      <c r="W33" s="96"/>
      <c r="X33" s="34"/>
    </row>
    <row r="34" spans="2:24" ht="9.75" customHeight="1" outlineLevel="1">
      <c r="B34" s="105" t="s">
        <v>25</v>
      </c>
      <c r="C34" s="106" t="str">
        <f>+C23</f>
        <v>TV Hochneukirch</v>
      </c>
      <c r="D34" s="107"/>
      <c r="E34" s="108"/>
      <c r="F34" s="109"/>
      <c r="G34" s="110"/>
      <c r="H34" s="111" t="s">
        <v>23</v>
      </c>
      <c r="I34" s="112"/>
      <c r="J34" s="110"/>
      <c r="K34" s="111" t="s">
        <v>23</v>
      </c>
      <c r="L34" s="112"/>
      <c r="M34" s="110"/>
      <c r="N34" s="111" t="s">
        <v>23</v>
      </c>
      <c r="O34" s="112"/>
      <c r="P34" s="113"/>
      <c r="Q34" s="111" t="s">
        <v>23</v>
      </c>
      <c r="R34" s="114"/>
      <c r="S34" s="55"/>
      <c r="T34" s="115"/>
      <c r="U34" s="116"/>
      <c r="V34" s="31"/>
      <c r="W34" s="96"/>
      <c r="X34" s="34"/>
    </row>
    <row r="35" spans="2:24" ht="9.75" customHeight="1" outlineLevel="1">
      <c r="B35" s="117"/>
      <c r="C35" s="106" t="str">
        <f>+C25</f>
        <v>TV Zeilhard </v>
      </c>
      <c r="D35" s="110">
        <f>IF(I34="","",I34)</f>
      </c>
      <c r="E35" s="111" t="s">
        <v>23</v>
      </c>
      <c r="F35" s="112">
        <f>IF(G34="","",G34)</f>
      </c>
      <c r="G35" s="107"/>
      <c r="H35" s="108"/>
      <c r="I35" s="109"/>
      <c r="J35" s="110">
        <v>20</v>
      </c>
      <c r="K35" s="111" t="s">
        <v>23</v>
      </c>
      <c r="L35" s="112">
        <v>18</v>
      </c>
      <c r="M35" s="110"/>
      <c r="N35" s="111" t="s">
        <v>23</v>
      </c>
      <c r="O35" s="112"/>
      <c r="P35" s="113"/>
      <c r="Q35" s="111" t="s">
        <v>23</v>
      </c>
      <c r="R35" s="114"/>
      <c r="S35" s="55"/>
      <c r="T35" s="115"/>
      <c r="U35" s="116"/>
      <c r="V35" s="31"/>
      <c r="W35" s="96"/>
      <c r="X35" s="34"/>
    </row>
    <row r="36" spans="2:24" ht="9.75" customHeight="1" outlineLevel="1">
      <c r="B36" s="117"/>
      <c r="C36" s="106" t="str">
        <f>+C27</f>
        <v>Vegesacker TV</v>
      </c>
      <c r="D36" s="110">
        <f>IF(L34="","",L34)</f>
      </c>
      <c r="E36" s="111" t="s">
        <v>23</v>
      </c>
      <c r="F36" s="112">
        <f>IF(J34="","",J34)</f>
      </c>
      <c r="G36" s="110">
        <f>IF(L35="","",L35)</f>
        <v>18</v>
      </c>
      <c r="H36" s="111" t="s">
        <v>23</v>
      </c>
      <c r="I36" s="112">
        <f>IF(J35="","",J35)</f>
        <v>20</v>
      </c>
      <c r="J36" s="107"/>
      <c r="K36" s="108"/>
      <c r="L36" s="109"/>
      <c r="M36" s="110"/>
      <c r="N36" s="111" t="s">
        <v>23</v>
      </c>
      <c r="O36" s="112"/>
      <c r="P36" s="113"/>
      <c r="Q36" s="111" t="s">
        <v>23</v>
      </c>
      <c r="R36" s="114"/>
      <c r="S36" s="55"/>
      <c r="T36" s="115"/>
      <c r="U36" s="116"/>
      <c r="V36" s="31"/>
      <c r="W36" s="96"/>
      <c r="X36" s="34"/>
    </row>
    <row r="37" spans="2:24" ht="9.75" customHeight="1" outlineLevel="1">
      <c r="B37" s="117"/>
      <c r="C37" s="106" t="str">
        <f>+C29</f>
        <v>BTV Charlottenburg</v>
      </c>
      <c r="D37" s="110">
        <f>IF(O34="","",O34)</f>
      </c>
      <c r="E37" s="111" t="s">
        <v>23</v>
      </c>
      <c r="F37" s="112">
        <f>IF(M34="","",M34)</f>
      </c>
      <c r="G37" s="110">
        <f>IF(O35="","",O35)</f>
      </c>
      <c r="H37" s="111" t="s">
        <v>23</v>
      </c>
      <c r="I37" s="112">
        <f>IF(M35="","",M35)</f>
      </c>
      <c r="J37" s="110">
        <f>IF(O36="","",O36)</f>
      </c>
      <c r="K37" s="111" t="s">
        <v>23</v>
      </c>
      <c r="L37" s="112">
        <f>IF(M36="","",M36)</f>
      </c>
      <c r="M37" s="107"/>
      <c r="N37" s="108"/>
      <c r="O37" s="109"/>
      <c r="P37" s="113"/>
      <c r="Q37" s="111" t="s">
        <v>23</v>
      </c>
      <c r="R37" s="114"/>
      <c r="S37" s="55"/>
      <c r="T37" s="115"/>
      <c r="U37" s="116"/>
      <c r="V37" s="31"/>
      <c r="W37" s="96"/>
      <c r="X37" s="34"/>
    </row>
    <row r="38" spans="3:18" ht="9.75" customHeight="1" outlineLevel="1">
      <c r="C38" s="106" t="str">
        <f>+C31</f>
        <v>VfL Waiblingen</v>
      </c>
      <c r="D38" s="110">
        <f>IF(R34="","",R34)</f>
      </c>
      <c r="E38" s="111" t="s">
        <v>23</v>
      </c>
      <c r="F38" s="112">
        <f>IF(P34="","",P34)</f>
      </c>
      <c r="G38" s="110">
        <f>IF(R35="","",R35)</f>
      </c>
      <c r="H38" s="111" t="s">
        <v>23</v>
      </c>
      <c r="I38" s="112">
        <f>IF(P35="","",P35)</f>
      </c>
      <c r="J38" s="110">
        <f>IF(R36="","",R36)</f>
      </c>
      <c r="K38" s="111" t="s">
        <v>23</v>
      </c>
      <c r="L38" s="112">
        <f>IF(P36="","",P36)</f>
      </c>
      <c r="M38" s="110">
        <f>IF(R37="","",R37)</f>
      </c>
      <c r="N38" s="111" t="s">
        <v>23</v>
      </c>
      <c r="O38" s="112">
        <f>IF(P37="","",P37)</f>
      </c>
      <c r="P38" s="107"/>
      <c r="Q38" s="108"/>
      <c r="R38" s="109"/>
    </row>
    <row r="39" ht="18" customHeight="1">
      <c r="B39" s="30" t="s">
        <v>100</v>
      </c>
    </row>
    <row r="40" spans="1:15" ht="17.25" customHeight="1">
      <c r="A40" s="28" t="s">
        <v>26</v>
      </c>
      <c r="B40" s="124" t="str">
        <f>"4."&amp;+$C$4&amp;"  5."&amp;+$C$22</f>
        <v>4.Gruppe A  5.Gruppe B</v>
      </c>
      <c r="C40" s="125" t="str">
        <f>IF(M40="","",$AB$11&amp;" : "&amp;IF($AB$31="","",$AB$31))</f>
        <v>TV Freiburg St. Georgen : VfL Waiblingen</v>
      </c>
      <c r="D40" s="126"/>
      <c r="E40" s="126"/>
      <c r="F40" s="126"/>
      <c r="G40" s="126"/>
      <c r="H40" s="127"/>
      <c r="I40" s="119"/>
      <c r="J40" s="128">
        <f>IF(Sonntag!Q23="","",Sonntag!Q23)</f>
        <v>44</v>
      </c>
      <c r="K40" s="129" t="s">
        <v>23</v>
      </c>
      <c r="L40" s="130">
        <f>IF(Sonntag!S23="","",Sonntag!S23)</f>
        <v>31</v>
      </c>
      <c r="M40" s="131" t="s">
        <v>165</v>
      </c>
      <c r="N40" s="132"/>
      <c r="O40" s="67"/>
    </row>
    <row r="41" spans="1:13" ht="4.5" customHeight="1">
      <c r="A41" s="31"/>
      <c r="B41" s="56"/>
      <c r="C41" s="31"/>
      <c r="D41" s="133"/>
      <c r="E41" s="134"/>
      <c r="F41" s="133"/>
      <c r="G41" s="133"/>
      <c r="H41" s="133"/>
      <c r="I41" s="133"/>
      <c r="J41" s="135"/>
      <c r="L41" s="136"/>
      <c r="M41" s="36"/>
    </row>
    <row r="42" spans="1:14" ht="17.25" customHeight="1">
      <c r="A42" s="28" t="s">
        <v>27</v>
      </c>
      <c r="B42" s="124" t="str">
        <f>"4."&amp;+$C$22&amp;"  5."&amp;+$C$4</f>
        <v>4.Gruppe B  5.Gruppe A</v>
      </c>
      <c r="C42" s="125" t="str">
        <f>IF(M42="","",$AB$29&amp;" : "&amp;$AB$13)</f>
        <v>TV Hochneukirch : SV Weiler</v>
      </c>
      <c r="D42" s="137"/>
      <c r="E42" s="137"/>
      <c r="F42" s="137"/>
      <c r="G42" s="137"/>
      <c r="H42" s="137"/>
      <c r="I42" s="75"/>
      <c r="J42" s="128">
        <f>IF(Sonntag!Q24="","",Sonntag!Q24)</f>
        <v>33</v>
      </c>
      <c r="K42" s="129" t="s">
        <v>23</v>
      </c>
      <c r="L42" s="130">
        <f>IF(Sonntag!S24="","",Sonntag!S24)</f>
        <v>31</v>
      </c>
      <c r="M42" s="131" t="s">
        <v>165</v>
      </c>
      <c r="N42" s="132"/>
    </row>
    <row r="43" spans="2:22" ht="18" customHeight="1">
      <c r="B43" s="156" t="s">
        <v>101</v>
      </c>
      <c r="C43" s="133"/>
      <c r="D43" s="133"/>
      <c r="E43" s="134"/>
      <c r="F43" s="133"/>
      <c r="G43" s="133"/>
      <c r="H43" s="133"/>
      <c r="I43" s="133"/>
      <c r="J43" s="135"/>
      <c r="L43" s="136"/>
      <c r="M43" s="36"/>
      <c r="P43" s="31"/>
      <c r="Q43" s="31"/>
      <c r="R43" s="31"/>
      <c r="S43" s="31"/>
      <c r="T43" s="31"/>
      <c r="U43" s="31"/>
      <c r="V43" s="31"/>
    </row>
    <row r="44" spans="2:22" ht="17.25" customHeight="1">
      <c r="B44" s="124" t="str">
        <f>"V."&amp;A40&amp;"/"&amp;A42&amp;"      9./10. Pl."</f>
        <v>V.a/b      9./10. Pl.</v>
      </c>
      <c r="C44" s="138" t="str">
        <f>IF(M44="","",IF(J40="","",Sonntag!H31)&amp;" : "&amp;IF(J42="","",Sonntag!L31))</f>
        <v>VfL Waiblingen : SV Weiler</v>
      </c>
      <c r="D44" s="137"/>
      <c r="E44" s="137"/>
      <c r="F44" s="137"/>
      <c r="G44" s="137"/>
      <c r="H44" s="137"/>
      <c r="I44" s="75"/>
      <c r="J44" s="128">
        <f>IF(Sonntag!Q31="","",Sonntag!Q31)</f>
        <v>28</v>
      </c>
      <c r="K44" s="129" t="s">
        <v>23</v>
      </c>
      <c r="L44" s="130">
        <f>IF(Sonntag!S31="","",Sonntag!S31)</f>
        <v>35</v>
      </c>
      <c r="M44" s="36" t="s">
        <v>165</v>
      </c>
      <c r="O44" s="40" t="s">
        <v>28</v>
      </c>
      <c r="P44" s="139"/>
      <c r="Q44" s="139"/>
      <c r="R44" s="139"/>
      <c r="S44" s="139"/>
      <c r="T44" s="139"/>
      <c r="U44" s="139"/>
      <c r="V44" s="139"/>
    </row>
    <row r="45" spans="2:22" ht="4.5" customHeight="1">
      <c r="B45" s="140"/>
      <c r="C45" s="133"/>
      <c r="D45" s="133"/>
      <c r="E45" s="133"/>
      <c r="F45" s="133"/>
      <c r="G45" s="133"/>
      <c r="H45" s="134"/>
      <c r="I45" s="133"/>
      <c r="J45" s="135"/>
      <c r="L45" s="136"/>
      <c r="M45" s="36"/>
      <c r="P45" s="31"/>
      <c r="Q45" s="31"/>
      <c r="R45" s="31"/>
      <c r="S45" s="31"/>
      <c r="T45" s="31"/>
      <c r="U45" s="31"/>
      <c r="V45" s="31"/>
    </row>
    <row r="46" spans="2:22" ht="17.25" customHeight="1">
      <c r="B46" s="124" t="str">
        <f>"S."&amp;A40&amp;"/"&amp;A42&amp;"        7./8. Pl."</f>
        <v>S.a/b        7./8. Pl.</v>
      </c>
      <c r="C46" s="138" t="str">
        <f>IF(M46="","",IF($J$40="","",Sonntag!H32)&amp;" : "&amp;IF($J$42="","",Sonntag!L32))</f>
        <v>TV Freiburg St. Georgen : TV Hochneukirch</v>
      </c>
      <c r="D46" s="126"/>
      <c r="E46" s="127"/>
      <c r="F46" s="126"/>
      <c r="G46" s="126"/>
      <c r="H46" s="126"/>
      <c r="I46" s="119"/>
      <c r="J46" s="128">
        <f>IF(Sonntag!Q32="","",Sonntag!Q32)</f>
        <v>43</v>
      </c>
      <c r="K46" s="129" t="s">
        <v>23</v>
      </c>
      <c r="L46" s="130">
        <f>IF(Sonntag!S32="","",Sonntag!S32)</f>
        <v>30</v>
      </c>
      <c r="M46" s="36" t="s">
        <v>165</v>
      </c>
      <c r="O46" s="159">
        <v>1</v>
      </c>
      <c r="P46" s="141" t="str">
        <f>" "&amp;IF(J60="","",IF(Sonntag!Q63&gt;Sonntag!S63,Sonntag!H63,Sonntag!L63))</f>
        <v> TB Essen-Altendorf</v>
      </c>
      <c r="Q46" s="141"/>
      <c r="R46" s="141"/>
      <c r="S46" s="141"/>
      <c r="T46" s="141"/>
      <c r="U46" s="141"/>
      <c r="V46" s="142"/>
    </row>
    <row r="47" spans="2:22" ht="18" customHeight="1">
      <c r="B47" s="156" t="s">
        <v>29</v>
      </c>
      <c r="C47" s="133"/>
      <c r="D47" s="133"/>
      <c r="E47" s="133"/>
      <c r="F47" s="133"/>
      <c r="G47" s="133"/>
      <c r="H47" s="134"/>
      <c r="I47" s="133"/>
      <c r="J47" s="135"/>
      <c r="L47" s="136"/>
      <c r="M47" s="36"/>
      <c r="O47" s="143">
        <v>2</v>
      </c>
      <c r="P47" s="144" t="str">
        <f>" "&amp;IF(J60="","",IF(Sonntag!Q63&lt;Sonntag!S63,Sonntag!H63,Sonntag!L63))</f>
        <v> TV Zeilhard </v>
      </c>
      <c r="Q47" s="67"/>
      <c r="R47" s="67"/>
      <c r="S47" s="67"/>
      <c r="T47" s="67"/>
      <c r="U47" s="67"/>
      <c r="V47" s="145"/>
    </row>
    <row r="48" spans="1:22" ht="17.25" customHeight="1">
      <c r="A48" s="28" t="s">
        <v>30</v>
      </c>
      <c r="B48" s="124" t="str">
        <f>"2."&amp;+$C$4&amp;"  3."&amp;+$C$22</f>
        <v>2.Gruppe A  3.Gruppe B</v>
      </c>
      <c r="C48" s="125" t="str">
        <f>IF(M48="","",$AB$7&amp;" : "&amp;$AB$27)</f>
        <v>TB Essen-Altendorf : BTV Charlottenburg</v>
      </c>
      <c r="D48" s="126"/>
      <c r="E48" s="127"/>
      <c r="F48" s="126"/>
      <c r="G48" s="126"/>
      <c r="H48" s="126"/>
      <c r="I48" s="119"/>
      <c r="J48" s="128">
        <f>IF(Sonntag!Q39="","",Sonntag!Q39)</f>
        <v>38</v>
      </c>
      <c r="K48" s="129" t="s">
        <v>23</v>
      </c>
      <c r="L48" s="130">
        <f>IF(Sonntag!S39="","",Sonntag!S39)</f>
        <v>32</v>
      </c>
      <c r="M48" s="36" t="s">
        <v>165</v>
      </c>
      <c r="O48" s="143">
        <v>3</v>
      </c>
      <c r="P48" s="146" t="str">
        <f>" "&amp;IF(J58="","",IF(Sonntag!Q59&gt;Sonntag!S59,Sonntag!H59,Sonntag!L59))</f>
        <v> TV Sottrum</v>
      </c>
      <c r="Q48" s="67"/>
      <c r="R48" s="67"/>
      <c r="S48" s="67"/>
      <c r="T48" s="67"/>
      <c r="U48" s="67"/>
      <c r="V48" s="145"/>
    </row>
    <row r="49" spans="2:22" ht="4.5" customHeight="1">
      <c r="B49" s="133"/>
      <c r="C49" s="133"/>
      <c r="D49" s="133"/>
      <c r="E49" s="133"/>
      <c r="F49" s="133"/>
      <c r="G49" s="133"/>
      <c r="H49" s="133"/>
      <c r="I49" s="133"/>
      <c r="J49" s="135"/>
      <c r="L49" s="136"/>
      <c r="M49" s="36"/>
      <c r="O49" s="143"/>
      <c r="P49" s="67"/>
      <c r="Q49" s="67"/>
      <c r="R49" s="67"/>
      <c r="S49" s="67"/>
      <c r="T49" s="67"/>
      <c r="U49" s="67"/>
      <c r="V49" s="145"/>
    </row>
    <row r="50" spans="1:22" ht="17.25" customHeight="1">
      <c r="A50" s="28" t="s">
        <v>31</v>
      </c>
      <c r="B50" s="124" t="str">
        <f>"2."&amp;+$C$22&amp;"  3."&amp;+$C$4</f>
        <v>2.Gruppe B  3.Gruppe A</v>
      </c>
      <c r="C50" s="125" t="str">
        <f>IF(M50="","",$AB$25&amp;" : "&amp;$AB$9)</f>
        <v>TV Zeilhard  : PV Gundernhausen </v>
      </c>
      <c r="D50" s="126"/>
      <c r="E50" s="126"/>
      <c r="F50" s="126"/>
      <c r="G50" s="126"/>
      <c r="H50" s="127"/>
      <c r="I50" s="119"/>
      <c r="J50" s="128">
        <f>IF(Sonntag!Q43="","",Sonntag!Q43)</f>
        <v>42</v>
      </c>
      <c r="K50" s="129" t="s">
        <v>23</v>
      </c>
      <c r="L50" s="130">
        <f>IF(Sonntag!S43="","",Sonntag!S43)</f>
        <v>32</v>
      </c>
      <c r="M50" s="36" t="s">
        <v>165</v>
      </c>
      <c r="O50" s="143">
        <v>4</v>
      </c>
      <c r="P50" s="146" t="str">
        <f>" "&amp;IF(J58="","",IF(Sonntag!Q59&lt;Sonntag!S59,Sonntag!H59,Sonntag!L59))</f>
        <v> Vegesacker TV</v>
      </c>
      <c r="Q50" s="67"/>
      <c r="R50" s="67"/>
      <c r="S50" s="67"/>
      <c r="T50" s="67"/>
      <c r="U50" s="67"/>
      <c r="V50" s="145"/>
    </row>
    <row r="51" spans="2:22" ht="18" customHeight="1">
      <c r="B51" s="156" t="s">
        <v>32</v>
      </c>
      <c r="C51" s="133"/>
      <c r="D51" s="133"/>
      <c r="E51" s="133"/>
      <c r="F51" s="133"/>
      <c r="G51" s="133"/>
      <c r="H51" s="133"/>
      <c r="I51" s="133"/>
      <c r="J51" s="135"/>
      <c r="L51" s="136"/>
      <c r="M51" s="36"/>
      <c r="O51" s="143">
        <v>5</v>
      </c>
      <c r="P51" s="146" t="str">
        <f>" "&amp;IF(J56="","",IF(Sonntag!Q55&gt;Sonntag!S55,Sonntag!H55,Sonntag!L55))</f>
        <v> BTV Charlottenburg</v>
      </c>
      <c r="Q51" s="67"/>
      <c r="R51" s="67"/>
      <c r="S51" s="67"/>
      <c r="T51" s="67"/>
      <c r="U51" s="67"/>
      <c r="V51" s="145"/>
    </row>
    <row r="52" spans="1:22" ht="17.25" customHeight="1">
      <c r="A52" s="28" t="s">
        <v>33</v>
      </c>
      <c r="B52" s="124" t="str">
        <f>"1."&amp;+$C$4&amp;"  Sieger "&amp;+$A$50</f>
        <v>1.Gruppe A  Sieger d</v>
      </c>
      <c r="C52" s="138" t="str">
        <f>IF(M52="","",$AB$5&amp;" : "&amp;IF(J50="","",Sonntag!L51))</f>
        <v>TV Sottrum : TV Zeilhard </v>
      </c>
      <c r="D52" s="126"/>
      <c r="E52" s="126"/>
      <c r="F52" s="126"/>
      <c r="G52" s="126"/>
      <c r="H52" s="127"/>
      <c r="I52" s="119"/>
      <c r="J52" s="128">
        <f>IF(Sonntag!Q51="","",Sonntag!Q51)</f>
        <v>27</v>
      </c>
      <c r="K52" s="129" t="s">
        <v>23</v>
      </c>
      <c r="L52" s="130">
        <f>IF(Sonntag!S51="","",Sonntag!S51)</f>
        <v>40</v>
      </c>
      <c r="M52" s="36" t="s">
        <v>165</v>
      </c>
      <c r="O52" s="143">
        <v>6</v>
      </c>
      <c r="P52" s="146" t="str">
        <f>" "&amp;IF(J56="","",IF(Sonntag!Q55&lt;Sonntag!S55,Sonntag!H55,Sonntag!L55))</f>
        <v> PV Gundernhausen </v>
      </c>
      <c r="Q52" s="67"/>
      <c r="R52" s="67"/>
      <c r="S52" s="67"/>
      <c r="T52" s="67"/>
      <c r="U52" s="67"/>
      <c r="V52" s="145"/>
    </row>
    <row r="53" spans="2:22" ht="4.5" customHeight="1">
      <c r="B53" s="134"/>
      <c r="C53" s="133"/>
      <c r="D53" s="133"/>
      <c r="E53" s="134"/>
      <c r="F53" s="133"/>
      <c r="G53" s="133"/>
      <c r="H53" s="133"/>
      <c r="I53" s="133"/>
      <c r="J53" s="135"/>
      <c r="L53" s="136"/>
      <c r="M53" s="36"/>
      <c r="O53" s="143"/>
      <c r="P53" s="67"/>
      <c r="Q53" s="67"/>
      <c r="R53" s="67"/>
      <c r="S53" s="67"/>
      <c r="T53" s="67"/>
      <c r="U53" s="67"/>
      <c r="V53" s="145"/>
    </row>
    <row r="54" spans="1:22" ht="17.25" customHeight="1">
      <c r="A54" s="28" t="s">
        <v>34</v>
      </c>
      <c r="B54" s="124" t="str">
        <f>"1."&amp;+$C$22&amp;"  Sieger "&amp;+$A$48</f>
        <v>1.Gruppe B  Sieger c</v>
      </c>
      <c r="C54" s="138" t="str">
        <f>IF(M54="","",$AB$23&amp;" : "&amp;IF(J48="","",Sonntag!L47))</f>
        <v>Vegesacker TV : TB Essen-Altendorf</v>
      </c>
      <c r="D54" s="126"/>
      <c r="E54" s="126"/>
      <c r="F54" s="126"/>
      <c r="G54" s="126"/>
      <c r="H54" s="126"/>
      <c r="I54" s="119"/>
      <c r="J54" s="128">
        <f>IF(Sonntag!Q47="","",Sonntag!Q47)</f>
        <v>33</v>
      </c>
      <c r="K54" s="129" t="s">
        <v>23</v>
      </c>
      <c r="L54" s="130">
        <f>IF(Sonntag!S47="","",Sonntag!S47)</f>
        <v>41</v>
      </c>
      <c r="M54" s="36" t="s">
        <v>165</v>
      </c>
      <c r="O54" s="143">
        <v>7</v>
      </c>
      <c r="P54" s="146" t="str">
        <f>" "&amp;IF(J46="","",IF(Sonntag!Q32&gt;Sonntag!S32,Sonntag!H32,Sonntag!L32))</f>
        <v> TV Freiburg St. Georgen</v>
      </c>
      <c r="Q54" s="67"/>
      <c r="R54" s="67"/>
      <c r="S54" s="67"/>
      <c r="T54" s="67"/>
      <c r="U54" s="67"/>
      <c r="V54" s="145"/>
    </row>
    <row r="55" spans="2:22" ht="18" customHeight="1">
      <c r="B55" s="158" t="s">
        <v>102</v>
      </c>
      <c r="C55" s="133"/>
      <c r="D55" s="133"/>
      <c r="E55" s="134"/>
      <c r="F55" s="133"/>
      <c r="G55" s="133"/>
      <c r="H55" s="133"/>
      <c r="I55" s="133"/>
      <c r="J55" s="135"/>
      <c r="L55" s="136"/>
      <c r="M55" s="36"/>
      <c r="O55" s="143">
        <v>8</v>
      </c>
      <c r="P55" s="146" t="str">
        <f>" "&amp;IF(J46="","",IF(Sonntag!Q32&lt;Sonntag!S32,Sonntag!H32,Sonntag!L32))</f>
        <v> TV Hochneukirch</v>
      </c>
      <c r="Q55" s="67"/>
      <c r="R55" s="67"/>
      <c r="S55" s="67"/>
      <c r="T55" s="67"/>
      <c r="U55" s="67"/>
      <c r="V55" s="145"/>
    </row>
    <row r="56" spans="2:22" ht="17.25" customHeight="1">
      <c r="B56" s="124" t="str">
        <f>"V."&amp;A48&amp;"/"&amp;A50&amp;"         5./6. Pl."</f>
        <v>V.c/d         5./6. Pl.</v>
      </c>
      <c r="C56" s="138" t="str">
        <f>IF(M56="","",IF(J48="","",Sonntag!H55)&amp;" : "&amp;IF(J50="","",Sonntag!L55))</f>
        <v>BTV Charlottenburg : PV Gundernhausen </v>
      </c>
      <c r="D56" s="126"/>
      <c r="E56" s="126"/>
      <c r="F56" s="126"/>
      <c r="G56" s="126"/>
      <c r="H56" s="126"/>
      <c r="I56" s="119"/>
      <c r="J56" s="128">
        <f>IF(Sonntag!Q55="","",Sonntag!Q55)</f>
        <v>39</v>
      </c>
      <c r="K56" s="129" t="s">
        <v>23</v>
      </c>
      <c r="L56" s="130">
        <f>IF(Sonntag!S55="","",Sonntag!S55)</f>
        <v>34</v>
      </c>
      <c r="M56" s="36" t="s">
        <v>165</v>
      </c>
      <c r="O56" s="143">
        <v>9</v>
      </c>
      <c r="P56" s="146" t="str">
        <f>" "&amp;IF(J44="","",IF(Sonntag!Q31&gt;Sonntag!S31,Sonntag!H31,Sonntag!L31))</f>
        <v> SV Weiler</v>
      </c>
      <c r="Q56" s="67"/>
      <c r="R56" s="67"/>
      <c r="S56" s="67"/>
      <c r="T56" s="67"/>
      <c r="U56" s="67"/>
      <c r="V56" s="145"/>
    </row>
    <row r="57" spans="2:22" ht="4.5" customHeight="1">
      <c r="B57" s="133"/>
      <c r="C57" s="133"/>
      <c r="D57" s="133"/>
      <c r="E57" s="133"/>
      <c r="F57" s="133"/>
      <c r="G57" s="133"/>
      <c r="H57" s="134"/>
      <c r="I57" s="133"/>
      <c r="J57" s="135"/>
      <c r="L57" s="136"/>
      <c r="M57" s="36"/>
      <c r="O57" s="143"/>
      <c r="P57" s="67"/>
      <c r="Q57" s="67"/>
      <c r="R57" s="67"/>
      <c r="S57" s="67"/>
      <c r="T57" s="67"/>
      <c r="U57" s="67"/>
      <c r="V57" s="145"/>
    </row>
    <row r="58" spans="2:22" ht="17.25" customHeight="1">
      <c r="B58" s="124" t="str">
        <f>"V."&amp;A52&amp;"/"&amp;A54&amp;"         3./4. Pl."</f>
        <v>V.e/f         3./4. Pl.</v>
      </c>
      <c r="C58" s="138" t="str">
        <f>IF(M58="","",IF(J52="","",Sonntag!H59)&amp;" : "&amp;IF(J54="","",Sonntag!L59))</f>
        <v>Vegesacker TV : TV Sottrum</v>
      </c>
      <c r="D58" s="126"/>
      <c r="E58" s="127"/>
      <c r="F58" s="126"/>
      <c r="G58" s="126"/>
      <c r="H58" s="126"/>
      <c r="I58" s="119"/>
      <c r="J58" s="128">
        <f>IF(Sonntag!Q59="","",Sonntag!Q59)</f>
        <v>30</v>
      </c>
      <c r="K58" s="129" t="s">
        <v>23</v>
      </c>
      <c r="L58" s="130">
        <f>IF(Sonntag!S59="","",Sonntag!S59)</f>
        <v>36</v>
      </c>
      <c r="M58" s="36" t="s">
        <v>165</v>
      </c>
      <c r="O58" s="147">
        <v>10</v>
      </c>
      <c r="P58" s="148" t="str">
        <f>" "&amp;IF(J44="","",IF(Sonntag!Q31&lt;Sonntag!S31,Sonntag!H31,Sonntag!L31))</f>
        <v> VfL Waiblingen</v>
      </c>
      <c r="Q58" s="149"/>
      <c r="R58" s="149"/>
      <c r="S58" s="149"/>
      <c r="T58" s="149"/>
      <c r="U58" s="149"/>
      <c r="V58" s="150"/>
    </row>
    <row r="59" spans="2:13" ht="18" customHeight="1">
      <c r="B59" s="157" t="s">
        <v>35</v>
      </c>
      <c r="C59" s="31"/>
      <c r="D59" s="133"/>
      <c r="E59" s="133"/>
      <c r="F59" s="133"/>
      <c r="G59" s="31"/>
      <c r="H59" s="151"/>
      <c r="I59" s="31"/>
      <c r="J59" s="135"/>
      <c r="L59" s="136"/>
      <c r="M59" s="36"/>
    </row>
    <row r="60" spans="2:13" ht="17.25" customHeight="1">
      <c r="B60" s="124" t="str">
        <f>"S."&amp;A52&amp;"/"&amp;A54&amp;"         1./2. Pl."</f>
        <v>S.e/f         1./2. Pl.</v>
      </c>
      <c r="C60" s="138" t="str">
        <f>IF(M60="","",IF(J54="","",Sonntag!H63)&amp;" : "&amp;IF(J52="","",Sonntag!L63))</f>
        <v>TB Essen-Altendorf : TV Zeilhard </v>
      </c>
      <c r="D60" s="137"/>
      <c r="E60" s="152"/>
      <c r="F60" s="137"/>
      <c r="G60" s="126"/>
      <c r="H60" s="126"/>
      <c r="I60" s="119"/>
      <c r="J60" s="128">
        <f>IF(Sonntag!Q63="","",Sonntag!Q63)</f>
        <v>41</v>
      </c>
      <c r="K60" s="129" t="s">
        <v>23</v>
      </c>
      <c r="L60" s="130">
        <f>IF(Sonntag!S63="","",Sonntag!S63)</f>
        <v>33</v>
      </c>
      <c r="M60" s="36" t="s">
        <v>165</v>
      </c>
    </row>
  </sheetData>
  <printOptions horizontalCentered="1" verticalCentered="1"/>
  <pageMargins left="0.35433070866141736" right="0.35433070866141736" top="0.1968503937007874" bottom="0.3937007874015748" header="0.5118110236220472" footer="0.5118110236220472"/>
  <pageSetup horizontalDpi="300" verticalDpi="300" orientation="portrait" paperSize="9" r:id="rId3"/>
  <headerFooter alignWithMargins="0">
    <oddFooter>&amp;R&amp;6&amp;D; &amp;F;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="75" zoomScaleNormal="75" workbookViewId="0" topLeftCell="A9">
      <selection activeCell="S31" sqref="S31:U32"/>
    </sheetView>
  </sheetViews>
  <sheetFormatPr defaultColWidth="11.421875" defaultRowHeight="12.75" outlineLevelRow="1"/>
  <cols>
    <col min="1" max="1" width="2.00390625" style="28" customWidth="1"/>
    <col min="2" max="2" width="6.8515625" style="28" customWidth="1"/>
    <col min="3" max="3" width="24.7109375" style="28" customWidth="1"/>
    <col min="4" max="4" width="4.00390625" style="28" customWidth="1"/>
    <col min="5" max="5" width="1.7109375" style="28" customWidth="1"/>
    <col min="6" max="7" width="4.00390625" style="28" customWidth="1"/>
    <col min="8" max="8" width="1.7109375" style="28" customWidth="1"/>
    <col min="9" max="10" width="4.00390625" style="28" customWidth="1"/>
    <col min="11" max="11" width="1.7109375" style="28" customWidth="1"/>
    <col min="12" max="13" width="4.00390625" style="28" customWidth="1"/>
    <col min="14" max="14" width="1.7109375" style="28" customWidth="1"/>
    <col min="15" max="16" width="4.00390625" style="28" customWidth="1"/>
    <col min="17" max="17" width="1.7109375" style="28" customWidth="1"/>
    <col min="18" max="19" width="4.00390625" style="28" customWidth="1"/>
    <col min="20" max="20" width="1.7109375" style="28" customWidth="1"/>
    <col min="21" max="21" width="4.00390625" style="28" customWidth="1"/>
    <col min="22" max="22" width="4.7109375" style="28" customWidth="1"/>
    <col min="23" max="23" width="6.57421875" style="28" hidden="1" customWidth="1"/>
    <col min="24" max="24" width="4.00390625" style="28" customWidth="1"/>
    <col min="25" max="25" width="4.8515625" style="28" customWidth="1"/>
    <col min="26" max="26" width="1.7109375" style="28" customWidth="1"/>
    <col min="27" max="28" width="4.00390625" style="28" customWidth="1"/>
    <col min="29" max="29" width="1.7109375" style="28" customWidth="1"/>
    <col min="30" max="30" width="4.00390625" style="28" customWidth="1"/>
    <col min="31" max="16384" width="11.421875" style="28" customWidth="1"/>
  </cols>
  <sheetData>
    <row r="1" spans="1:22" s="30" customFormat="1" ht="24.75" customHeight="1">
      <c r="A1" s="153"/>
      <c r="B1" s="61" t="str">
        <f>+Daten!A1&amp;" "&amp;Daten!B1&amp;" "&amp;Daten!I1</f>
        <v>44. Deutsche Prellball Meisterschaften der Jugend 2007</v>
      </c>
      <c r="C1" s="154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2:22" ht="21.75" customHeight="1">
      <c r="B2" s="63" t="s">
        <v>20</v>
      </c>
      <c r="C2" s="64"/>
      <c r="D2" s="65"/>
      <c r="E2" s="66"/>
      <c r="F2" s="65"/>
      <c r="G2" s="67"/>
      <c r="H2" s="67"/>
      <c r="I2" s="67"/>
      <c r="J2" s="67"/>
      <c r="K2" s="67"/>
      <c r="L2" s="67"/>
      <c r="M2" s="67"/>
      <c r="N2" s="67"/>
      <c r="O2" s="63" t="str">
        <f>+Daten!I4</f>
        <v>männl. Jugend 11-14</v>
      </c>
      <c r="P2" s="69"/>
      <c r="Q2" s="69"/>
      <c r="R2" s="68"/>
      <c r="S2" s="69"/>
      <c r="T2" s="69"/>
      <c r="U2" s="69"/>
      <c r="V2" s="64"/>
    </row>
    <row r="3" spans="2:22" ht="6.75" customHeight="1">
      <c r="B3" s="70"/>
      <c r="C3" s="67"/>
      <c r="D3" s="65"/>
      <c r="E3" s="66"/>
      <c r="F3" s="65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67"/>
      <c r="T3" s="67"/>
      <c r="U3" s="67"/>
      <c r="V3" s="67"/>
    </row>
    <row r="4" spans="2:29" ht="12.75" customHeight="1">
      <c r="B4" s="71"/>
      <c r="C4" s="72" t="str">
        <f>+Daten!I5</f>
        <v>Gruppe C</v>
      </c>
      <c r="D4" s="185"/>
      <c r="E4" s="181" t="str">
        <f>+C5</f>
        <v>GW Wuppertal</v>
      </c>
      <c r="F4" s="182"/>
      <c r="G4" s="183"/>
      <c r="H4" s="181" t="str">
        <f>+C7</f>
        <v>PV Gundernhausen</v>
      </c>
      <c r="I4" s="184"/>
      <c r="J4" s="183"/>
      <c r="K4" s="181" t="str">
        <f>+C9</f>
        <v>TV Mahndorf</v>
      </c>
      <c r="L4" s="184"/>
      <c r="M4" s="183"/>
      <c r="N4" s="181" t="str">
        <f>+C11</f>
        <v>VfL Waiblingen</v>
      </c>
      <c r="O4" s="184"/>
      <c r="P4" s="183"/>
      <c r="Q4" s="181" t="str">
        <f>+C13</f>
        <v>Vegesacker TV</v>
      </c>
      <c r="R4" s="184"/>
      <c r="S4" s="74"/>
      <c r="T4" s="76" t="s">
        <v>21</v>
      </c>
      <c r="U4" s="75"/>
      <c r="V4" s="77" t="s">
        <v>22</v>
      </c>
      <c r="AC4" s="78"/>
    </row>
    <row r="5" spans="2:28" ht="15" customHeight="1">
      <c r="B5" s="79" t="str">
        <f>IF(Daten!H6="","",Daten!H6)</f>
        <v>W2</v>
      </c>
      <c r="C5" s="80" t="str">
        <f>IF(Daten!I6="","",Daten!I6)</f>
        <v>GW Wuppertal</v>
      </c>
      <c r="D5" s="81"/>
      <c r="E5" s="82"/>
      <c r="F5" s="83"/>
      <c r="G5" s="84">
        <f>IF(Samstag!$Q25="","",Samstag!$Q25)</f>
        <v>36</v>
      </c>
      <c r="H5" s="85" t="s">
        <v>23</v>
      </c>
      <c r="I5" s="86">
        <f>IF(Samstag!$S25="","",Samstag!$S25)</f>
        <v>39</v>
      </c>
      <c r="J5" s="84">
        <f>IF(Samstag!$Q37="","",Samstag!$Q37)</f>
        <v>35</v>
      </c>
      <c r="K5" s="85" t="s">
        <v>23</v>
      </c>
      <c r="L5" s="86">
        <f>IF(Samstag!$S37="","",Samstag!$S37)</f>
        <v>36</v>
      </c>
      <c r="M5" s="84">
        <f>IF(Samstag!$Q49="","",Samstag!$Q49)</f>
        <v>40</v>
      </c>
      <c r="N5" s="85" t="s">
        <v>23</v>
      </c>
      <c r="O5" s="86">
        <f>IF(Samstag!$S49="","",Samstag!$S49)</f>
        <v>34</v>
      </c>
      <c r="P5" s="84">
        <f>IF(Samstag!$Q61="","",Samstag!$Q61)</f>
        <v>41</v>
      </c>
      <c r="Q5" s="85" t="s">
        <v>23</v>
      </c>
      <c r="R5" s="86">
        <f>IF(Samstag!$S61="","",Samstag!$S61)</f>
        <v>48</v>
      </c>
      <c r="S5" s="84">
        <f>IF(X6="","",SUM(D5,G5,J5,M5,P5))</f>
        <v>152</v>
      </c>
      <c r="T5" s="85" t="s">
        <v>23</v>
      </c>
      <c r="U5" s="86">
        <f>IF(X6="","",SUM(F5,I5,L5,O5,R5))</f>
        <v>157</v>
      </c>
      <c r="V5" s="97">
        <f>IF(X5="","",RANK(W6,($W$6,$W$8,$W$10,$W$12,$W$14),0))</f>
        <v>4</v>
      </c>
      <c r="X5" s="34" t="s">
        <v>165</v>
      </c>
      <c r="AA5" s="28">
        <v>1</v>
      </c>
      <c r="AB5" s="160" t="str">
        <f>IF(V5="","",IF($V$5=1,$C$5,IF($V$7=1,$C$7,IF($V$9=1,$C$9,IF($V$11=1,$C$11,IF($V$13=1,$C$13,0))))))</f>
        <v>Vegesacker TV</v>
      </c>
    </row>
    <row r="6" spans="2:28" ht="10.5" customHeight="1">
      <c r="B6" s="88"/>
      <c r="C6" s="89"/>
      <c r="D6" s="90"/>
      <c r="E6" s="91"/>
      <c r="F6" s="92"/>
      <c r="G6" s="93">
        <f>IF(G5="","",IF(G5&gt;I5,2,IF(G5&lt;I5,0,1)))</f>
        <v>0</v>
      </c>
      <c r="H6" s="51" t="s">
        <v>24</v>
      </c>
      <c r="I6" s="94">
        <f>IF(I5="","",IF(I5&gt;G5,2,IF(I5&lt;G5,0,1)))</f>
        <v>2</v>
      </c>
      <c r="J6" s="93">
        <f>IF(J5="","",IF(J5&gt;L5,2,IF(J5&lt;L5,0,1)))</f>
        <v>0</v>
      </c>
      <c r="K6" s="51" t="s">
        <v>24</v>
      </c>
      <c r="L6" s="94">
        <f>IF(L5="","",IF(L5&gt;J5,2,IF(L5&lt;J5,0,1)))</f>
        <v>2</v>
      </c>
      <c r="M6" s="93">
        <f>IF(M5="","",IF(M5&gt;O5,2,IF(M5&lt;O5,0,1)))</f>
        <v>2</v>
      </c>
      <c r="N6" s="51" t="s">
        <v>24</v>
      </c>
      <c r="O6" s="94">
        <f>IF(O5="","",IF(O5&gt;M5,2,IF(O5&lt;M5,0,1)))</f>
        <v>0</v>
      </c>
      <c r="P6" s="93">
        <f>IF(P5="","",IF(P5&gt;R5,2,IF(P5&lt;R5,0,1)))</f>
        <v>0</v>
      </c>
      <c r="Q6" s="51" t="s">
        <v>24</v>
      </c>
      <c r="R6" s="94">
        <f>IF(R5="","",IF(R5&gt;P5,2,IF(R5&lt;P5,0,1)))</f>
        <v>2</v>
      </c>
      <c r="S6" s="93">
        <f>IF(X6="","",SUM(D6,G6,J6,M6,P6))</f>
        <v>2</v>
      </c>
      <c r="T6" s="51" t="s">
        <v>24</v>
      </c>
      <c r="U6" s="94">
        <f>IF(X6="","",SUM(F6,I6,L6,O6,R6))</f>
        <v>6</v>
      </c>
      <c r="V6" s="95"/>
      <c r="W6" s="96">
        <f>+(S6-U6)+S5/U5+S6</f>
        <v>-1.031847133757962</v>
      </c>
      <c r="X6" s="34" t="s">
        <v>165</v>
      </c>
      <c r="AB6" s="160"/>
    </row>
    <row r="7" spans="2:28" ht="15" customHeight="1">
      <c r="B7" s="79" t="str">
        <f>IF(Daten!H7="","",Daten!H7)</f>
        <v>W4</v>
      </c>
      <c r="C7" s="80" t="str">
        <f>IF(Daten!I7="","",Daten!I7)</f>
        <v>PV Gundernhausen</v>
      </c>
      <c r="D7" s="84">
        <f>IF(I5="","",I5)</f>
        <v>39</v>
      </c>
      <c r="E7" s="85" t="s">
        <v>23</v>
      </c>
      <c r="F7" s="86">
        <f>IF(G5="","",G5)</f>
        <v>36</v>
      </c>
      <c r="G7" s="81"/>
      <c r="H7" s="82"/>
      <c r="I7" s="83"/>
      <c r="J7" s="84">
        <f>IF(Samstag!$Q45="","",Samstag!$Q45)</f>
        <v>38</v>
      </c>
      <c r="K7" s="85" t="s">
        <v>23</v>
      </c>
      <c r="L7" s="86">
        <f>IF(Samstag!$S45="","",Samstag!$S45)</f>
        <v>40</v>
      </c>
      <c r="M7" s="84">
        <f>IF(Samstag!$Q57="","",Samstag!$Q57)</f>
        <v>42</v>
      </c>
      <c r="N7" s="85" t="s">
        <v>23</v>
      </c>
      <c r="O7" s="86">
        <f>IF(Samstag!$S57="","",Samstag!$S57)</f>
        <v>29</v>
      </c>
      <c r="P7" s="84">
        <f>IF(Samstag!$Q33="","",Samstag!$Q33)</f>
        <v>44</v>
      </c>
      <c r="Q7" s="85" t="s">
        <v>23</v>
      </c>
      <c r="R7" s="86">
        <f>IF(Samstag!$S33="","",Samstag!$S33)</f>
        <v>45</v>
      </c>
      <c r="S7" s="84">
        <f>IF(X8="","",SUM(D7,G7,J7,M7,P7))</f>
        <v>163</v>
      </c>
      <c r="T7" s="85" t="s">
        <v>23</v>
      </c>
      <c r="U7" s="86">
        <f>IF(X8="","",SUM(F7,I7,L7,O7,R7))</f>
        <v>150</v>
      </c>
      <c r="V7" s="97">
        <v>3</v>
      </c>
      <c r="X7" s="34" t="s">
        <v>165</v>
      </c>
      <c r="AA7" s="28">
        <v>2</v>
      </c>
      <c r="AB7" s="160" t="str">
        <f>IF(V7="","",IF($V$5=2,$C$5,IF($V$7=2,$C$7,IF($V$9=2,$C$9,IF($V$11=2,$C$11,IF($V$13=2,$C$13,0))))))</f>
        <v>TV Mahndorf</v>
      </c>
    </row>
    <row r="8" spans="2:28" ht="10.5" customHeight="1">
      <c r="B8" s="88"/>
      <c r="C8" s="89"/>
      <c r="D8" s="93">
        <f>IF(D7="","",IF(D7&gt;F7,2,IF(D7&lt;F7,0,1)))</f>
        <v>2</v>
      </c>
      <c r="E8" s="51" t="s">
        <v>24</v>
      </c>
      <c r="F8" s="94">
        <f>IF(F7="","",IF(F7&gt;D7,2,IF(F7&lt;D7,0,1)))</f>
        <v>0</v>
      </c>
      <c r="G8" s="90"/>
      <c r="H8" s="91"/>
      <c r="I8" s="92"/>
      <c r="J8" s="93">
        <f>IF(J7="","",IF(J7&gt;L7,2,IF(J7&lt;L7,0,1)))</f>
        <v>0</v>
      </c>
      <c r="K8" s="51" t="s">
        <v>24</v>
      </c>
      <c r="L8" s="94">
        <f>IF(L7="","",IF(L7&gt;J7,2,IF(L7&lt;J7,0,1)))</f>
        <v>2</v>
      </c>
      <c r="M8" s="93">
        <f>IF(M7="","",IF(M7&gt;O7,2,IF(M7&lt;O7,0,1)))</f>
        <v>2</v>
      </c>
      <c r="N8" s="51" t="s">
        <v>24</v>
      </c>
      <c r="O8" s="94">
        <f>IF(O7="","",IF(O7&gt;M7,2,IF(O7&lt;M7,0,1)))</f>
        <v>0</v>
      </c>
      <c r="P8" s="93">
        <f>IF(P7="","",IF(P7&gt;R7,2,IF(P7&lt;R7,0,1)))</f>
        <v>0</v>
      </c>
      <c r="Q8" s="51" t="s">
        <v>24</v>
      </c>
      <c r="R8" s="94">
        <f>IF(R7="","",IF(R7&gt;P7,2,IF(R7&lt;P7,0,1)))</f>
        <v>2</v>
      </c>
      <c r="S8" s="93">
        <f>IF(X8="","",SUM(D8,G8,J8,M8,P8))</f>
        <v>4</v>
      </c>
      <c r="T8" s="51" t="s">
        <v>24</v>
      </c>
      <c r="U8" s="94">
        <f>IF(X8="","",SUM(F8,I8,L8,O8,R8))</f>
        <v>4</v>
      </c>
      <c r="V8" s="95"/>
      <c r="W8" s="96">
        <f>+(S8-U8)+S7/U7+S8</f>
        <v>5.086666666666667</v>
      </c>
      <c r="X8" s="34" t="s">
        <v>165</v>
      </c>
      <c r="AB8" s="160"/>
    </row>
    <row r="9" spans="2:28" ht="15" customHeight="1">
      <c r="B9" s="79" t="str">
        <f>IF(Daten!H8="","",Daten!H8)</f>
        <v>S3</v>
      </c>
      <c r="C9" s="80" t="str">
        <f>IF(Daten!I8="","",Daten!I8)</f>
        <v>TV Mahndorf</v>
      </c>
      <c r="D9" s="84">
        <f>IF(L5="","",L5)</f>
        <v>36</v>
      </c>
      <c r="E9" s="85" t="s">
        <v>23</v>
      </c>
      <c r="F9" s="86">
        <f>IF(J5="","",J5)</f>
        <v>35</v>
      </c>
      <c r="G9" s="84">
        <f>IF(L7="","",L7)</f>
        <v>40</v>
      </c>
      <c r="H9" s="85" t="s">
        <v>23</v>
      </c>
      <c r="I9" s="86">
        <f>IF(J7="","",J7)</f>
        <v>38</v>
      </c>
      <c r="J9" s="81"/>
      <c r="K9" s="82"/>
      <c r="L9" s="83"/>
      <c r="M9" s="84">
        <f>IF(Samstag!$Q29="","",Samstag!$Q29)</f>
        <v>31</v>
      </c>
      <c r="N9" s="85" t="s">
        <v>23</v>
      </c>
      <c r="O9" s="86">
        <f>IF(Samstag!$S29="","",Samstag!$S29)</f>
        <v>43</v>
      </c>
      <c r="P9" s="84">
        <f>IF(Samstag!$Q53="","",Samstag!$Q53)</f>
        <v>33</v>
      </c>
      <c r="Q9" s="85" t="s">
        <v>23</v>
      </c>
      <c r="R9" s="86">
        <f>IF(Samstag!$S53="","",Samstag!$S53)</f>
        <v>48</v>
      </c>
      <c r="S9" s="84">
        <f>IF(X10="","",SUM(D9,G9,J9,M9,P9))</f>
        <v>140</v>
      </c>
      <c r="T9" s="85" t="s">
        <v>23</v>
      </c>
      <c r="U9" s="86">
        <f>IF(X10="","",SUM(F9,I9,L9,O9,R9))</f>
        <v>164</v>
      </c>
      <c r="V9" s="97">
        <v>2</v>
      </c>
      <c r="X9" s="34" t="s">
        <v>165</v>
      </c>
      <c r="AA9" s="28">
        <v>3</v>
      </c>
      <c r="AB9" s="160" t="str">
        <f>IF(V9="","",IF($V$5=3,$C$5,IF($V$7=3,$C$7,IF($V$9=3,$C$9,IF($V$11=3,$C$11,IF($V$13=3,$C$13,0))))))</f>
        <v>PV Gundernhausen</v>
      </c>
    </row>
    <row r="10" spans="2:28" ht="10.5" customHeight="1">
      <c r="B10" s="98"/>
      <c r="C10" s="89"/>
      <c r="D10" s="93">
        <f>IF(D9="","",IF(D9&gt;F9,2,IF(D9&lt;F9,0,1)))</f>
        <v>2</v>
      </c>
      <c r="E10" s="51" t="s">
        <v>24</v>
      </c>
      <c r="F10" s="94">
        <f>IF(F9="","",IF(F9&gt;D9,2,IF(F9&lt;D9,0,1)))</f>
        <v>0</v>
      </c>
      <c r="G10" s="93">
        <f>IF(G9="","",IF(G9&gt;I9,2,IF(G9&lt;I9,0,1)))</f>
        <v>2</v>
      </c>
      <c r="H10" s="51" t="s">
        <v>24</v>
      </c>
      <c r="I10" s="94">
        <f>IF(I9="","",IF(I9&gt;G9,2,IF(I9&lt;G9,0,1)))</f>
        <v>0</v>
      </c>
      <c r="J10" s="90"/>
      <c r="K10" s="91"/>
      <c r="L10" s="92"/>
      <c r="M10" s="93">
        <f>IF(M9="","",IF(M9&gt;O9,2,IF(M9&lt;O9,0,1)))</f>
        <v>0</v>
      </c>
      <c r="N10" s="51" t="s">
        <v>24</v>
      </c>
      <c r="O10" s="94">
        <f>IF(O9="","",IF(O9&gt;M9,2,IF(O9&lt;M9,0,1)))</f>
        <v>2</v>
      </c>
      <c r="P10" s="93">
        <f>IF(P9="","",IF(P9&gt;R9,2,IF(P9&lt;R9,0,1)))</f>
        <v>0</v>
      </c>
      <c r="Q10" s="51" t="s">
        <v>24</v>
      </c>
      <c r="R10" s="94">
        <f>IF(R9="","",IF(R9&gt;P9,2,IF(R9&lt;P9,0,1)))</f>
        <v>2</v>
      </c>
      <c r="S10" s="93">
        <f>IF(X10="","",SUM(D10,G10,J10,M10,P10))</f>
        <v>4</v>
      </c>
      <c r="T10" s="51" t="s">
        <v>24</v>
      </c>
      <c r="U10" s="94">
        <f>IF(X10="","",SUM(F10,I10,L10,O10,R10))</f>
        <v>4</v>
      </c>
      <c r="V10" s="95"/>
      <c r="W10" s="96">
        <f>+(S10-U10)+S9/U9+S10</f>
        <v>4.853658536585366</v>
      </c>
      <c r="X10" s="34" t="s">
        <v>165</v>
      </c>
      <c r="AB10" s="160"/>
    </row>
    <row r="11" spans="2:28" ht="15" customHeight="1">
      <c r="B11" s="79" t="str">
        <f>IF(Daten!H9="","",Daten!H9)</f>
        <v>S1</v>
      </c>
      <c r="C11" s="80" t="str">
        <f>IF(Daten!I9="","",Daten!I9)</f>
        <v>VfL Waiblingen</v>
      </c>
      <c r="D11" s="84">
        <f>IF(O5="","",O5)</f>
        <v>34</v>
      </c>
      <c r="E11" s="85" t="s">
        <v>23</v>
      </c>
      <c r="F11" s="86">
        <f>IF(M5="","",M5)</f>
        <v>40</v>
      </c>
      <c r="G11" s="84">
        <f>IF(O7="","",O7)</f>
        <v>29</v>
      </c>
      <c r="H11" s="85" t="s">
        <v>23</v>
      </c>
      <c r="I11" s="86">
        <f>IF(M7="","",M7)</f>
        <v>42</v>
      </c>
      <c r="J11" s="84">
        <f>IF(O9="","",O9)</f>
        <v>43</v>
      </c>
      <c r="K11" s="85" t="s">
        <v>23</v>
      </c>
      <c r="L11" s="86">
        <f>IF(M9="","",M9)</f>
        <v>31</v>
      </c>
      <c r="M11" s="81"/>
      <c r="N11" s="82"/>
      <c r="O11" s="83"/>
      <c r="P11" s="84">
        <f>IF(Samstag!$Q41="","",Samstag!$Q41)</f>
        <v>42</v>
      </c>
      <c r="Q11" s="85" t="s">
        <v>23</v>
      </c>
      <c r="R11" s="86">
        <f>IF(Samstag!$S41="","",Samstag!$S41)</f>
        <v>51</v>
      </c>
      <c r="S11" s="84">
        <f>IF(X12="","",SUM(D11,G11,J11,M11,P11))</f>
        <v>148</v>
      </c>
      <c r="T11" s="85" t="s">
        <v>23</v>
      </c>
      <c r="U11" s="86">
        <f>IF(X12="","",SUM(F11,I11,L11,O11,R11))</f>
        <v>164</v>
      </c>
      <c r="V11" s="97">
        <f>IF(X11="","",RANK(W12,($W$6,$W$8,$W$10,$W$12,$W$14),0))</f>
        <v>5</v>
      </c>
      <c r="X11" s="34" t="s">
        <v>165</v>
      </c>
      <c r="AA11" s="28">
        <v>4</v>
      </c>
      <c r="AB11" s="160" t="str">
        <f>IF(V11="","",IF($V$5=4,$C$5,IF($V$7=4,$C$7,IF($V$9=4,$C$9,IF($V$11=4,$C$11,IF($V$13=4,$C$13,0))))))</f>
        <v>GW Wuppertal</v>
      </c>
    </row>
    <row r="12" spans="2:28" ht="10.5" customHeight="1">
      <c r="B12" s="98"/>
      <c r="C12" s="89"/>
      <c r="D12" s="93">
        <f>IF(D11="","",IF(D11&gt;F11,2,IF(D11&lt;F11,0,1)))</f>
        <v>0</v>
      </c>
      <c r="E12" s="51" t="s">
        <v>24</v>
      </c>
      <c r="F12" s="94">
        <f>IF(F11="","",IF(F11&gt;D11,2,IF(F11&lt;D11,0,1)))</f>
        <v>2</v>
      </c>
      <c r="G12" s="93">
        <f>IF(G11="","",IF(G11&gt;I11,2,IF(G11&lt;I11,0,1)))</f>
        <v>0</v>
      </c>
      <c r="H12" s="51" t="s">
        <v>24</v>
      </c>
      <c r="I12" s="94">
        <f>IF(I11="","",IF(I11&gt;G11,2,IF(I11&lt;G11,0,1)))</f>
        <v>2</v>
      </c>
      <c r="J12" s="93">
        <f>IF(J11="","",IF(J11&gt;L11,2,IF(J11&lt;L11,0,1)))</f>
        <v>2</v>
      </c>
      <c r="K12" s="51" t="s">
        <v>24</v>
      </c>
      <c r="L12" s="94">
        <f>IF(L11="","",IF(L11&gt;J11,2,IF(L11&lt;J11,0,1)))</f>
        <v>0</v>
      </c>
      <c r="M12" s="90"/>
      <c r="N12" s="91"/>
      <c r="O12" s="92"/>
      <c r="P12" s="93">
        <f>IF(P11="","",IF(P11&gt;R11,2,IF(P11&lt;R11,0,1)))</f>
        <v>0</v>
      </c>
      <c r="Q12" s="51" t="s">
        <v>24</v>
      </c>
      <c r="R12" s="94">
        <f>IF(R11="","",IF(R11&gt;P11,2,IF(R11&lt;P11,0,1)))</f>
        <v>2</v>
      </c>
      <c r="S12" s="93">
        <f>IF(X12="","",SUM(D12,G12,J12,M12,P12))</f>
        <v>2</v>
      </c>
      <c r="T12" s="51" t="s">
        <v>24</v>
      </c>
      <c r="U12" s="94">
        <f>IF(X12="","",SUM(F12,I12,L12,O12,R12))</f>
        <v>6</v>
      </c>
      <c r="V12" s="95"/>
      <c r="W12" s="96">
        <f>+(S12-U12)+S11/U11+S12</f>
        <v>-1.0975609756097562</v>
      </c>
      <c r="X12" s="34" t="s">
        <v>165</v>
      </c>
      <c r="AB12" s="160"/>
    </row>
    <row r="13" spans="2:28" ht="15" customHeight="1">
      <c r="B13" s="79" t="str">
        <f>IF(Daten!H10="","",Daten!H10)</f>
        <v>N1</v>
      </c>
      <c r="C13" s="80" t="str">
        <f>IF(Daten!I10="","",Daten!I10)</f>
        <v>Vegesacker TV</v>
      </c>
      <c r="D13" s="84">
        <f>IF(R5="","",R5)</f>
        <v>48</v>
      </c>
      <c r="E13" s="85" t="s">
        <v>23</v>
      </c>
      <c r="F13" s="86">
        <f>IF(P5="","",P5)</f>
        <v>41</v>
      </c>
      <c r="G13" s="84">
        <f>IF(R7="","",R7)</f>
        <v>45</v>
      </c>
      <c r="H13" s="85" t="s">
        <v>23</v>
      </c>
      <c r="I13" s="86">
        <f>IF(P7="","",P7)</f>
        <v>44</v>
      </c>
      <c r="J13" s="84">
        <f>IF(R9="","",R9)</f>
        <v>48</v>
      </c>
      <c r="K13" s="85" t="s">
        <v>23</v>
      </c>
      <c r="L13" s="86">
        <f>IF(P9="","",P9)</f>
        <v>33</v>
      </c>
      <c r="M13" s="84">
        <f>IF(R11="","",R11)</f>
        <v>51</v>
      </c>
      <c r="N13" s="85" t="s">
        <v>23</v>
      </c>
      <c r="O13" s="86">
        <f>IF(P11="","",P11)</f>
        <v>42</v>
      </c>
      <c r="P13" s="81"/>
      <c r="Q13" s="82"/>
      <c r="R13" s="83"/>
      <c r="S13" s="84">
        <f>IF(X14="","",SUM(D13,G13,J13,M13,P13))</f>
        <v>192</v>
      </c>
      <c r="T13" s="85" t="s">
        <v>23</v>
      </c>
      <c r="U13" s="86">
        <f>IF(X14="","",SUM(F13,I13,L13,O13,R13))</f>
        <v>160</v>
      </c>
      <c r="V13" s="97">
        <f>IF(X13="","",RANK(W14,($W$6,$W$8,$W$10,$W$12,$W$14),0))</f>
        <v>1</v>
      </c>
      <c r="X13" s="34" t="s">
        <v>165</v>
      </c>
      <c r="AA13" s="28">
        <v>5</v>
      </c>
      <c r="AB13" s="160" t="str">
        <f>IF(V13="","",IF($V$5=5,$C$5,IF($V$7=5,$C$7,IF($V$9=5,$C$9,IF($V$11=5,$C$11,IF($V$13=5,$C$13,0))))))</f>
        <v>VfL Waiblingen</v>
      </c>
    </row>
    <row r="14" spans="2:24" ht="10.5" customHeight="1">
      <c r="B14" s="98"/>
      <c r="C14" s="99"/>
      <c r="D14" s="93">
        <f>IF(D13="","",IF(D13&gt;F13,2,IF(D13&lt;F13,0,1)))</f>
        <v>2</v>
      </c>
      <c r="E14" s="51" t="s">
        <v>24</v>
      </c>
      <c r="F14" s="94">
        <f>IF(F13="","",IF(F13&gt;D13,2,IF(F13&lt;D13,0,1)))</f>
        <v>0</v>
      </c>
      <c r="G14" s="93">
        <f>IF(G13="","",IF(G13&gt;I13,2,IF(G13&lt;I13,0,1)))</f>
        <v>2</v>
      </c>
      <c r="H14" s="51" t="s">
        <v>24</v>
      </c>
      <c r="I14" s="94">
        <f>IF(I13="","",IF(I13&gt;G13,2,IF(I13&lt;G13,0,1)))</f>
        <v>0</v>
      </c>
      <c r="J14" s="93">
        <f>IF(J13="","",IF(J13&gt;L13,2,IF(J13&lt;L13,0,1)))</f>
        <v>2</v>
      </c>
      <c r="K14" s="51" t="s">
        <v>24</v>
      </c>
      <c r="L14" s="94">
        <f>IF(L13="","",IF(L13&gt;J13,2,IF(L13&lt;J13,0,1)))</f>
        <v>0</v>
      </c>
      <c r="M14" s="93">
        <f>IF(M13="","",IF(M13&gt;O13,2,IF(M13&lt;O13,0,1)))</f>
        <v>2</v>
      </c>
      <c r="N14" s="51" t="s">
        <v>24</v>
      </c>
      <c r="O14" s="94">
        <f>IF(O13="","",IF(O13&gt;M13,2,IF(O13&lt;M13,0,1)))</f>
        <v>0</v>
      </c>
      <c r="P14" s="90"/>
      <c r="Q14" s="91"/>
      <c r="R14" s="92"/>
      <c r="S14" s="93">
        <f>IF(X14="","",SUM(D14,G14,J14,M14,P14))</f>
        <v>8</v>
      </c>
      <c r="T14" s="51" t="s">
        <v>24</v>
      </c>
      <c r="U14" s="94">
        <f>IF(X14="","",SUM(F14,I14,L14,O14,R14))</f>
        <v>0</v>
      </c>
      <c r="V14" s="95"/>
      <c r="W14" s="96">
        <f>+(S14-U14)+S13/U13+S14</f>
        <v>17.2</v>
      </c>
      <c r="X14" s="34" t="s">
        <v>165</v>
      </c>
    </row>
    <row r="15" spans="2:24" ht="9.75" customHeight="1">
      <c r="B15" s="100"/>
      <c r="C15" s="100"/>
      <c r="D15" s="101"/>
      <c r="E15" s="85"/>
      <c r="F15" s="102"/>
      <c r="G15" s="101"/>
      <c r="H15" s="85"/>
      <c r="I15" s="102"/>
      <c r="J15" s="101"/>
      <c r="K15" s="85"/>
      <c r="L15" s="102"/>
      <c r="M15" s="101"/>
      <c r="N15" s="85"/>
      <c r="O15" s="102"/>
      <c r="P15" s="103"/>
      <c r="Q15" s="103"/>
      <c r="R15" s="103"/>
      <c r="S15" s="101"/>
      <c r="T15" s="85"/>
      <c r="U15" s="102"/>
      <c r="V15" s="104"/>
      <c r="W15" s="96"/>
      <c r="X15" s="34"/>
    </row>
    <row r="16" spans="2:24" ht="9.75" customHeight="1" outlineLevel="1">
      <c r="B16" s="105" t="s">
        <v>25</v>
      </c>
      <c r="C16" s="106" t="str">
        <f>+C5</f>
        <v>GW Wuppertal</v>
      </c>
      <c r="D16" s="107"/>
      <c r="E16" s="108"/>
      <c r="F16" s="109"/>
      <c r="G16" s="110"/>
      <c r="H16" s="111" t="s">
        <v>23</v>
      </c>
      <c r="I16" s="112"/>
      <c r="J16" s="110"/>
      <c r="K16" s="111" t="s">
        <v>23</v>
      </c>
      <c r="L16" s="112"/>
      <c r="M16" s="110"/>
      <c r="N16" s="111" t="s">
        <v>23</v>
      </c>
      <c r="O16" s="112"/>
      <c r="P16" s="113"/>
      <c r="Q16" s="111" t="s">
        <v>23</v>
      </c>
      <c r="R16" s="114"/>
      <c r="S16" s="55"/>
      <c r="T16" s="115"/>
      <c r="U16" s="116"/>
      <c r="V16" s="31"/>
      <c r="W16" s="96"/>
      <c r="X16" s="34"/>
    </row>
    <row r="17" spans="2:24" ht="9.75" customHeight="1" outlineLevel="1">
      <c r="B17" s="117"/>
      <c r="C17" s="106" t="str">
        <f>+C7</f>
        <v>PV Gundernhausen</v>
      </c>
      <c r="D17" s="110">
        <f>IF(I16="","",I16)</f>
      </c>
      <c r="E17" s="111" t="s">
        <v>23</v>
      </c>
      <c r="F17" s="112">
        <f>IF(G16="","",G16)</f>
      </c>
      <c r="G17" s="107"/>
      <c r="H17" s="108"/>
      <c r="I17" s="109"/>
      <c r="J17" s="110"/>
      <c r="K17" s="111" t="s">
        <v>23</v>
      </c>
      <c r="L17" s="112"/>
      <c r="M17" s="110"/>
      <c r="N17" s="111" t="s">
        <v>23</v>
      </c>
      <c r="O17" s="112"/>
      <c r="P17" s="113"/>
      <c r="Q17" s="111" t="s">
        <v>23</v>
      </c>
      <c r="R17" s="114"/>
      <c r="S17" s="55"/>
      <c r="T17" s="115"/>
      <c r="U17" s="116"/>
      <c r="V17" s="31"/>
      <c r="W17" s="96"/>
      <c r="X17" s="34"/>
    </row>
    <row r="18" spans="2:24" ht="9.75" customHeight="1" outlineLevel="1">
      <c r="B18" s="117"/>
      <c r="C18" s="106" t="str">
        <f>+C9</f>
        <v>TV Mahndorf</v>
      </c>
      <c r="D18" s="110">
        <f>IF(L16="","",L16)</f>
      </c>
      <c r="E18" s="111" t="s">
        <v>23</v>
      </c>
      <c r="F18" s="112">
        <f>IF(J16="","",J16)</f>
      </c>
      <c r="G18" s="110">
        <f>IF(L17="","",L17)</f>
      </c>
      <c r="H18" s="111" t="s">
        <v>23</v>
      </c>
      <c r="I18" s="112">
        <f>IF(J17="","",J17)</f>
      </c>
      <c r="J18" s="107"/>
      <c r="K18" s="108"/>
      <c r="L18" s="109"/>
      <c r="M18" s="110"/>
      <c r="N18" s="111" t="s">
        <v>23</v>
      </c>
      <c r="O18" s="112"/>
      <c r="P18" s="113"/>
      <c r="Q18" s="111" t="s">
        <v>23</v>
      </c>
      <c r="R18" s="114"/>
      <c r="S18" s="55"/>
      <c r="T18" s="115"/>
      <c r="U18" s="116"/>
      <c r="V18" s="31"/>
      <c r="W18" s="96"/>
      <c r="X18" s="34"/>
    </row>
    <row r="19" spans="2:24" ht="9.75" customHeight="1" outlineLevel="1">
      <c r="B19" s="117"/>
      <c r="C19" s="106" t="str">
        <f>+C11</f>
        <v>VfL Waiblingen</v>
      </c>
      <c r="D19" s="110">
        <f>IF(O16="","",O16)</f>
      </c>
      <c r="E19" s="111" t="s">
        <v>23</v>
      </c>
      <c r="F19" s="112">
        <f>IF(M16="","",M16)</f>
      </c>
      <c r="G19" s="110">
        <f>IF(O17="","",O17)</f>
      </c>
      <c r="H19" s="111" t="s">
        <v>23</v>
      </c>
      <c r="I19" s="112">
        <f>IF(M17="","",M17)</f>
      </c>
      <c r="J19" s="110">
        <f>IF(O18="","",O18)</f>
      </c>
      <c r="K19" s="111" t="s">
        <v>23</v>
      </c>
      <c r="L19" s="112">
        <f>IF(M18="","",M18)</f>
      </c>
      <c r="M19" s="107"/>
      <c r="N19" s="108"/>
      <c r="O19" s="109"/>
      <c r="P19" s="113"/>
      <c r="Q19" s="111" t="s">
        <v>23</v>
      </c>
      <c r="R19" s="114"/>
      <c r="S19" s="55"/>
      <c r="T19" s="115"/>
      <c r="U19" s="116"/>
      <c r="V19" s="31"/>
      <c r="W19" s="96"/>
      <c r="X19" s="34"/>
    </row>
    <row r="20" spans="2:24" ht="9.75" customHeight="1" outlineLevel="1">
      <c r="B20" s="117"/>
      <c r="C20" s="106" t="str">
        <f>+C13</f>
        <v>Vegesacker TV</v>
      </c>
      <c r="D20" s="110">
        <f>IF(R16="","",R16)</f>
      </c>
      <c r="E20" s="111" t="s">
        <v>23</v>
      </c>
      <c r="F20" s="112">
        <f>IF(P16="","",P16)</f>
      </c>
      <c r="G20" s="110">
        <f>IF(R17="","",R17)</f>
      </c>
      <c r="H20" s="111" t="s">
        <v>23</v>
      </c>
      <c r="I20" s="112">
        <f>IF(P17="","",P17)</f>
      </c>
      <c r="J20" s="110">
        <f>IF(R18="","",R18)</f>
      </c>
      <c r="K20" s="111" t="s">
        <v>23</v>
      </c>
      <c r="L20" s="112">
        <f>IF(P18="","",P18)</f>
      </c>
      <c r="M20" s="110">
        <f>IF(R19="","",R19)</f>
      </c>
      <c r="N20" s="111" t="s">
        <v>23</v>
      </c>
      <c r="O20" s="112">
        <f>IF(P19="","",P19)</f>
      </c>
      <c r="P20" s="107"/>
      <c r="Q20" s="108"/>
      <c r="R20" s="109"/>
      <c r="S20" s="55"/>
      <c r="T20" s="115"/>
      <c r="U20" s="116"/>
      <c r="V20" s="31"/>
      <c r="W20" s="96"/>
      <c r="X20" s="34"/>
    </row>
    <row r="22" spans="2:22" ht="12.75" customHeight="1">
      <c r="B22" s="118"/>
      <c r="C22" s="119" t="str">
        <f>+Daten!L5</f>
        <v>Gruppe D</v>
      </c>
      <c r="D22" s="183"/>
      <c r="E22" s="181" t="str">
        <f>+C23</f>
        <v>Linden Dahlhauser TV</v>
      </c>
      <c r="F22" s="184"/>
      <c r="G22" s="183"/>
      <c r="H22" s="181" t="str">
        <f>+C25</f>
        <v>TV Zeilhard </v>
      </c>
      <c r="I22" s="184"/>
      <c r="J22" s="183"/>
      <c r="K22" s="181" t="str">
        <f>+C27</f>
        <v>TuS Harsefeld</v>
      </c>
      <c r="L22" s="184"/>
      <c r="M22" s="183"/>
      <c r="N22" s="181" t="str">
        <f>+C29</f>
        <v>MTV Markoldendorf</v>
      </c>
      <c r="O22" s="184"/>
      <c r="P22" s="183"/>
      <c r="Q22" s="181" t="str">
        <f>+C31</f>
        <v>TSV Ludwigshafen</v>
      </c>
      <c r="R22" s="184"/>
      <c r="S22" s="74"/>
      <c r="T22" s="76" t="s">
        <v>21</v>
      </c>
      <c r="U22" s="75"/>
      <c r="V22" s="77" t="s">
        <v>22</v>
      </c>
    </row>
    <row r="23" spans="2:28" ht="15" customHeight="1">
      <c r="B23" s="79" t="str">
        <f>IF(Daten!K6="","",Daten!K6)</f>
        <v>W3</v>
      </c>
      <c r="C23" s="80" t="str">
        <f>IF(Daten!L6="","",Daten!L6)</f>
        <v>Linden Dahlhauser TV</v>
      </c>
      <c r="D23" s="81"/>
      <c r="E23" s="82"/>
      <c r="F23" s="83"/>
      <c r="G23" s="84">
        <f>IF(Samstag!$Q26="","",Samstag!$Q26)</f>
        <v>43</v>
      </c>
      <c r="H23" s="85" t="s">
        <v>23</v>
      </c>
      <c r="I23" s="86">
        <f>IF(Samstag!$S26="","",Samstag!$S26)</f>
        <v>37</v>
      </c>
      <c r="J23" s="84">
        <f>IF(Samstag!$Q46="","",Samstag!$Q46)</f>
        <v>39</v>
      </c>
      <c r="K23" s="85" t="s">
        <v>23</v>
      </c>
      <c r="L23" s="86">
        <f>IF(Samstag!$S46="","",Samstag!$S46)</f>
        <v>29</v>
      </c>
      <c r="M23" s="84">
        <f>IF(Samstag!$Q58="","",Samstag!$Q58)</f>
        <v>33</v>
      </c>
      <c r="N23" s="85" t="s">
        <v>23</v>
      </c>
      <c r="O23" s="86">
        <f>IF(Samstag!$S58="","",Samstag!$S58)</f>
        <v>29</v>
      </c>
      <c r="P23" s="84">
        <f>IF(Samstag!$Q34="","",Samstag!$Q34)</f>
        <v>45</v>
      </c>
      <c r="Q23" s="85" t="s">
        <v>23</v>
      </c>
      <c r="R23" s="86">
        <f>IF(Samstag!$S34="","",Samstag!$S34)</f>
        <v>32</v>
      </c>
      <c r="S23" s="84">
        <f>IF(X24="","",SUM(D23,G23,J23,M23,P23))</f>
        <v>160</v>
      </c>
      <c r="T23" s="85" t="s">
        <v>23</v>
      </c>
      <c r="U23" s="86">
        <f>IF(X24="","",SUM(F23,I23,L23,O23,R23))</f>
        <v>127</v>
      </c>
      <c r="V23" s="87">
        <f>IF(X23="","",RANK(W24,($W$24,$W$26,$W$28,$W$30,$W$32),0))</f>
        <v>1</v>
      </c>
      <c r="X23" s="34" t="s">
        <v>165</v>
      </c>
      <c r="AA23" s="28">
        <v>1</v>
      </c>
      <c r="AB23" s="28" t="str">
        <f>IF(V23="","",IF($V$23=1,$C$23,IF($V$25=1,$C$25,IF($V$27=1,$C$27,IF($V$29=1,$C$29,IF($V$31=1,$C$31,0))))))</f>
        <v>Linden Dahlhauser TV</v>
      </c>
    </row>
    <row r="24" spans="2:24" ht="10.5" customHeight="1">
      <c r="B24" s="120"/>
      <c r="C24" s="121"/>
      <c r="D24" s="90"/>
      <c r="E24" s="91"/>
      <c r="F24" s="92"/>
      <c r="G24" s="93">
        <f>IF(G23="","",IF(G23&gt;I23,2,IF(G23&lt;I23,0,1)))</f>
        <v>2</v>
      </c>
      <c r="H24" s="51" t="s">
        <v>24</v>
      </c>
      <c r="I24" s="94">
        <f>IF(I23="","",IF(I23&gt;G23,2,IF(I23&lt;G23,0,1)))</f>
        <v>0</v>
      </c>
      <c r="J24" s="93">
        <f>IF(J23="","",IF(J23&gt;L23,2,IF(J23&lt;L23,0,1)))</f>
        <v>2</v>
      </c>
      <c r="K24" s="51" t="s">
        <v>24</v>
      </c>
      <c r="L24" s="94">
        <f>IF(L23="","",IF(L23&gt;J23,2,IF(L23&lt;J23,0,1)))</f>
        <v>0</v>
      </c>
      <c r="M24" s="93">
        <f>IF(M23="","",IF(M23&gt;O23,2,IF(M23&lt;O23,0,1)))</f>
        <v>2</v>
      </c>
      <c r="N24" s="51" t="s">
        <v>24</v>
      </c>
      <c r="O24" s="94">
        <f>IF(O23="","",IF(O23&gt;M23,2,IF(O23&lt;M23,0,1)))</f>
        <v>0</v>
      </c>
      <c r="P24" s="93">
        <f>IF(P23="","",IF(P23&gt;R23,2,IF(P23&lt;R23,0,1)))</f>
        <v>2</v>
      </c>
      <c r="Q24" s="51" t="s">
        <v>24</v>
      </c>
      <c r="R24" s="94">
        <f>IF(R23="","",IF(R23&gt;P23,2,IF(R23&lt;P23,0,1)))</f>
        <v>0</v>
      </c>
      <c r="S24" s="93">
        <f>IF(X24="","",SUM(D24,G24,J24,M24,P24))</f>
        <v>8</v>
      </c>
      <c r="T24" s="51" t="s">
        <v>24</v>
      </c>
      <c r="U24" s="94">
        <f>IF(X24="","",SUM(F24,I24,L24,O24,R24))</f>
        <v>0</v>
      </c>
      <c r="V24" s="95"/>
      <c r="W24" s="96">
        <f>+(S24-U24)+S23/U23+S24</f>
        <v>17.259842519685037</v>
      </c>
      <c r="X24" s="34" t="s">
        <v>165</v>
      </c>
    </row>
    <row r="25" spans="2:28" ht="15" customHeight="1">
      <c r="B25" s="79" t="str">
        <f>IF(Daten!K7="","",Daten!K7)</f>
        <v>W1</v>
      </c>
      <c r="C25" s="80" t="str">
        <f>IF(Daten!L7="","",Daten!L7)</f>
        <v>TV Zeilhard </v>
      </c>
      <c r="D25" s="84">
        <f>IF(I23="","",I23)</f>
        <v>37</v>
      </c>
      <c r="E25" s="85" t="s">
        <v>23</v>
      </c>
      <c r="F25" s="86">
        <f>IF(G23="","",G23)</f>
        <v>43</v>
      </c>
      <c r="G25" s="81"/>
      <c r="H25" s="82"/>
      <c r="I25" s="83"/>
      <c r="J25" s="84">
        <f>IF(Samstag!$Q38="","",Samstag!$Q38)</f>
        <v>41</v>
      </c>
      <c r="K25" s="85" t="s">
        <v>23</v>
      </c>
      <c r="L25" s="86">
        <f>IF(Samstag!$S38="","",Samstag!$S38)</f>
        <v>32</v>
      </c>
      <c r="M25" s="84">
        <f>IF(Samstag!$Q50="","",Samstag!$Q50)</f>
        <v>31</v>
      </c>
      <c r="N25" s="85" t="s">
        <v>23</v>
      </c>
      <c r="O25" s="86">
        <f>IF(Samstag!$S50="","",Samstag!$S50)</f>
        <v>39</v>
      </c>
      <c r="P25" s="84">
        <f>IF(Samstag!$Q62="","",Samstag!$Q62)</f>
        <v>39</v>
      </c>
      <c r="Q25" s="85" t="s">
        <v>23</v>
      </c>
      <c r="R25" s="86">
        <f>IF(Samstag!$S62="","",Samstag!$S62)</f>
        <v>36</v>
      </c>
      <c r="S25" s="84">
        <f>IF(X26="","",SUM(D25,G25,J25,M25,P25))</f>
        <v>148</v>
      </c>
      <c r="T25" s="85" t="s">
        <v>23</v>
      </c>
      <c r="U25" s="86">
        <f>IF(X26="","",SUM(F25,I25,L25,O25,R25))</f>
        <v>150</v>
      </c>
      <c r="V25" s="97">
        <f>IF(X25="","",RANK(W26,($W$24,$W$26,$W$28,$W$30,$W$32),0))</f>
        <v>3</v>
      </c>
      <c r="X25" s="34" t="s">
        <v>165</v>
      </c>
      <c r="AA25" s="28">
        <v>2</v>
      </c>
      <c r="AB25" s="28" t="str">
        <f>IF(V25="","",IF($V$23=2,$C$23,IF($V$25=2,$C$25,IF($V$27=2,$C$27,IF($V$29=2,$C$29,IF($V$31=2,$C$31,0))))))</f>
        <v>MTV Markoldendorf</v>
      </c>
    </row>
    <row r="26" spans="2:24" ht="10.5" customHeight="1">
      <c r="B26" s="120"/>
      <c r="C26" s="121"/>
      <c r="D26" s="93">
        <f>IF(D25="","",IF(D25&gt;F25,2,IF(D25&lt;F25,0,1)))</f>
        <v>0</v>
      </c>
      <c r="E26" s="51" t="s">
        <v>24</v>
      </c>
      <c r="F26" s="94">
        <f>IF(F25="","",IF(F25&gt;D25,2,IF(F25&lt;D25,0,1)))</f>
        <v>2</v>
      </c>
      <c r="G26" s="90"/>
      <c r="H26" s="91"/>
      <c r="I26" s="92"/>
      <c r="J26" s="93">
        <f>IF(J25="","",IF(J25&gt;L25,2,IF(J25&lt;L25,0,1)))</f>
        <v>2</v>
      </c>
      <c r="K26" s="51" t="s">
        <v>24</v>
      </c>
      <c r="L26" s="94">
        <f>IF(L25="","",IF(L25&gt;J25,2,IF(L25&lt;J25,0,1)))</f>
        <v>0</v>
      </c>
      <c r="M26" s="93">
        <f>IF(M25="","",IF(M25&gt;O25,2,IF(M25&lt;O25,0,1)))</f>
        <v>0</v>
      </c>
      <c r="N26" s="51" t="s">
        <v>24</v>
      </c>
      <c r="O26" s="94">
        <f>IF(O25="","",IF(O25&gt;M25,2,IF(O25&lt;M25,0,1)))</f>
        <v>2</v>
      </c>
      <c r="P26" s="93">
        <f>IF(P25="","",IF(P25&gt;R25,2,IF(P25&lt;R25,0,1)))</f>
        <v>2</v>
      </c>
      <c r="Q26" s="51" t="s">
        <v>24</v>
      </c>
      <c r="R26" s="94">
        <f>IF(R25="","",IF(R25&gt;P25,2,IF(R25&lt;P25,0,1)))</f>
        <v>0</v>
      </c>
      <c r="S26" s="93">
        <f>IF(X26="","",SUM(D26,G26,J26,M26,P26))</f>
        <v>4</v>
      </c>
      <c r="T26" s="51" t="s">
        <v>24</v>
      </c>
      <c r="U26" s="94">
        <f>IF(X26="","",SUM(F26,I26,L26,O26,R26))</f>
        <v>4</v>
      </c>
      <c r="V26" s="95"/>
      <c r="W26" s="96">
        <f>+(S26-U26)+S25/U25+S26</f>
        <v>4.986666666666666</v>
      </c>
      <c r="X26" s="34" t="s">
        <v>165</v>
      </c>
    </row>
    <row r="27" spans="2:28" ht="15" customHeight="1">
      <c r="B27" s="79" t="str">
        <f>IF(Daten!K8="","",Daten!K8)</f>
        <v>N3</v>
      </c>
      <c r="C27" s="80" t="str">
        <f>IF(Daten!L8="","",Daten!L8)</f>
        <v>TuS Harsefeld</v>
      </c>
      <c r="D27" s="84">
        <f>IF(L23="","",L23)</f>
        <v>29</v>
      </c>
      <c r="E27" s="85" t="s">
        <v>23</v>
      </c>
      <c r="F27" s="86">
        <f>IF(J23="","",J23)</f>
        <v>39</v>
      </c>
      <c r="G27" s="84">
        <f>IF(L25="","",L25)</f>
        <v>32</v>
      </c>
      <c r="H27" s="85" t="s">
        <v>23</v>
      </c>
      <c r="I27" s="86">
        <f>IF(J25="","",J25)</f>
        <v>41</v>
      </c>
      <c r="J27" s="81"/>
      <c r="K27" s="82"/>
      <c r="L27" s="83"/>
      <c r="M27" s="84">
        <f>IF(Samstag!$Q30="","",Samstag!$Q30)</f>
        <v>32</v>
      </c>
      <c r="N27" s="85" t="s">
        <v>23</v>
      </c>
      <c r="O27" s="86">
        <f>IF(Samstag!$S30="","",Samstag!$S30)</f>
        <v>40</v>
      </c>
      <c r="P27" s="84">
        <f>IF(Samstag!$Q54="","",Samstag!$Q54)</f>
        <v>40</v>
      </c>
      <c r="Q27" s="85" t="s">
        <v>23</v>
      </c>
      <c r="R27" s="86">
        <f>IF(Samstag!$S54="","",Samstag!$S54)</f>
        <v>36</v>
      </c>
      <c r="S27" s="84">
        <f>IF(X28="","",SUM(D27,G27,J27,M27,P27))</f>
        <v>133</v>
      </c>
      <c r="T27" s="85" t="s">
        <v>23</v>
      </c>
      <c r="U27" s="86">
        <f>IF(X28="","",SUM(F27,I27,L27,O27,R27))</f>
        <v>156</v>
      </c>
      <c r="V27" s="97">
        <f>IF(X27="","",RANK(W28,($W$24,$W$26,$W$28,$W$30,$W$32),0))</f>
        <v>4</v>
      </c>
      <c r="X27" s="34" t="s">
        <v>165</v>
      </c>
      <c r="AA27" s="28">
        <v>3</v>
      </c>
      <c r="AB27" s="28" t="str">
        <f>IF(V27="","",IF($V$23=3,$C$23,IF($V$25=3,$C$25,IF($V$27=3,$C$27,IF($V$29=3,$C$29,IF($V$31=3,$C$31,0))))))</f>
        <v>TV Zeilhard </v>
      </c>
    </row>
    <row r="28" spans="2:24" ht="10.5" customHeight="1">
      <c r="B28" s="122"/>
      <c r="C28" s="123"/>
      <c r="D28" s="93">
        <f>IF(D27="","",IF(D27&gt;F27,2,IF(D27&lt;F27,0,1)))</f>
        <v>0</v>
      </c>
      <c r="E28" s="51" t="s">
        <v>24</v>
      </c>
      <c r="F28" s="94">
        <f>IF(F27="","",IF(F27&gt;D27,2,IF(F27&lt;D27,0,1)))</f>
        <v>2</v>
      </c>
      <c r="G28" s="93">
        <f>IF(G27="","",IF(G27&gt;I27,2,IF(G27&lt;I27,0,1)))</f>
        <v>0</v>
      </c>
      <c r="H28" s="51" t="s">
        <v>24</v>
      </c>
      <c r="I28" s="94">
        <f>IF(I27="","",IF(I27&gt;G27,2,IF(I27&lt;G27,0,1)))</f>
        <v>2</v>
      </c>
      <c r="J28" s="90"/>
      <c r="K28" s="91"/>
      <c r="L28" s="92"/>
      <c r="M28" s="93">
        <f>IF(M27="","",IF(M27&gt;O27,2,IF(M27&lt;O27,0,1)))</f>
        <v>0</v>
      </c>
      <c r="N28" s="51" t="s">
        <v>24</v>
      </c>
      <c r="O28" s="94">
        <f>IF(O27="","",IF(O27&gt;M27,2,IF(O27&lt;M27,0,1)))</f>
        <v>2</v>
      </c>
      <c r="P28" s="93">
        <f>IF(P27="","",IF(P27&gt;R27,2,IF(P27&lt;R27,0,1)))</f>
        <v>2</v>
      </c>
      <c r="Q28" s="51" t="s">
        <v>24</v>
      </c>
      <c r="R28" s="94">
        <f>IF(R27="","",IF(R27&gt;P27,2,IF(R27&lt;P27,0,1)))</f>
        <v>0</v>
      </c>
      <c r="S28" s="93">
        <f>IF(X28="","",SUM(D28,G28,J28,M28,P28))</f>
        <v>2</v>
      </c>
      <c r="T28" s="51" t="s">
        <v>24</v>
      </c>
      <c r="U28" s="94">
        <f>IF(X28="","",SUM(F28,I28,L28,O28,R28))</f>
        <v>6</v>
      </c>
      <c r="V28" s="95"/>
      <c r="W28" s="96">
        <f>+(S28-U28)+S27/U27+S28</f>
        <v>-1.1474358974358974</v>
      </c>
      <c r="X28" s="34" t="s">
        <v>165</v>
      </c>
    </row>
    <row r="29" spans="2:28" ht="15" customHeight="1">
      <c r="B29" s="79" t="str">
        <f>IF(Daten!K9="","",Daten!K9)</f>
        <v>N2</v>
      </c>
      <c r="C29" s="80" t="str">
        <f>IF(Daten!L9="","",Daten!L9)</f>
        <v>MTV Markoldendorf</v>
      </c>
      <c r="D29" s="84">
        <f>IF(O23="","",O23)</f>
        <v>29</v>
      </c>
      <c r="E29" s="85" t="s">
        <v>23</v>
      </c>
      <c r="F29" s="86">
        <f>IF(M23="","",M23)</f>
        <v>33</v>
      </c>
      <c r="G29" s="84">
        <f>IF(O25="","",O25)</f>
        <v>39</v>
      </c>
      <c r="H29" s="85" t="s">
        <v>23</v>
      </c>
      <c r="I29" s="86">
        <f>IF(M25="","",M25)</f>
        <v>31</v>
      </c>
      <c r="J29" s="84">
        <f>IF(O27="","",O27)</f>
        <v>40</v>
      </c>
      <c r="K29" s="85" t="s">
        <v>23</v>
      </c>
      <c r="L29" s="86">
        <f>IF(M27="","",M27)</f>
        <v>32</v>
      </c>
      <c r="M29" s="81"/>
      <c r="N29" s="82"/>
      <c r="O29" s="83"/>
      <c r="P29" s="84">
        <f>IF(Samstag!$Q42="","",Samstag!$Q42)</f>
        <v>39</v>
      </c>
      <c r="Q29" s="85" t="s">
        <v>23</v>
      </c>
      <c r="R29" s="86">
        <f>IF(Samstag!$S42="","",Samstag!$S42)</f>
        <v>22</v>
      </c>
      <c r="S29" s="84">
        <f>IF(X30="","",SUM(D29,G29,J29,M29,P29))</f>
        <v>147</v>
      </c>
      <c r="T29" s="85" t="s">
        <v>23</v>
      </c>
      <c r="U29" s="86">
        <f>IF(X30="","",SUM(F29,I29,L29,O29,R29))</f>
        <v>118</v>
      </c>
      <c r="V29" s="97">
        <f>IF(X29="","",RANK(W30,($W$24,$W$26,$W$28,$W$30,$W$32),0))</f>
        <v>2</v>
      </c>
      <c r="X29" s="34" t="s">
        <v>165</v>
      </c>
      <c r="AA29" s="28">
        <v>4</v>
      </c>
      <c r="AB29" s="28" t="str">
        <f>IF(V29="","",IF($V$23=4,$C$23,IF($V$25=4,$C$25,IF($V$27=4,$C$27,IF($V$29=4,$C$29,IF($V$31=4,$C$31,0))))))</f>
        <v>TuS Harsefeld</v>
      </c>
    </row>
    <row r="30" spans="2:24" ht="10.5" customHeight="1">
      <c r="B30" s="120"/>
      <c r="C30" s="123"/>
      <c r="D30" s="93">
        <f>IF(D29="","",IF(D29&gt;F29,2,IF(D29&lt;F29,0,1)))</f>
        <v>0</v>
      </c>
      <c r="E30" s="51" t="s">
        <v>24</v>
      </c>
      <c r="F30" s="94">
        <f>IF(F29="","",IF(F29&gt;D29,2,IF(F29&lt;D29,0,1)))</f>
        <v>2</v>
      </c>
      <c r="G30" s="93">
        <f>IF(G29="","",IF(G29&gt;I29,2,IF(G29&lt;I29,0,1)))</f>
        <v>2</v>
      </c>
      <c r="H30" s="51" t="s">
        <v>24</v>
      </c>
      <c r="I30" s="94">
        <f>IF(I29="","",IF(I29&gt;G29,2,IF(I29&lt;G29,0,1)))</f>
        <v>0</v>
      </c>
      <c r="J30" s="93">
        <f>IF(J29="","",IF(J29&gt;L29,2,IF(J29&lt;L29,0,1)))</f>
        <v>2</v>
      </c>
      <c r="K30" s="51" t="s">
        <v>24</v>
      </c>
      <c r="L30" s="94">
        <f>IF(L29="","",IF(L29&gt;J29,2,IF(L29&lt;J29,0,1)))</f>
        <v>0</v>
      </c>
      <c r="M30" s="90"/>
      <c r="N30" s="91"/>
      <c r="O30" s="92"/>
      <c r="P30" s="93">
        <f>IF(P29="","",IF(P29&gt;R29,2,IF(P29&lt;R29,0,1)))</f>
        <v>2</v>
      </c>
      <c r="Q30" s="51" t="s">
        <v>24</v>
      </c>
      <c r="R30" s="94">
        <f>IF(R29="","",IF(R29&gt;P29,2,IF(R29&lt;P29,0,1)))</f>
        <v>0</v>
      </c>
      <c r="S30" s="93">
        <f>IF(X30="","",SUM(D30,G30,J30,M30,P30))</f>
        <v>6</v>
      </c>
      <c r="T30" s="51" t="s">
        <v>24</v>
      </c>
      <c r="U30" s="94">
        <f>IF(X30="","",SUM(F30,I30,L30,O30,R30))</f>
        <v>2</v>
      </c>
      <c r="V30" s="95"/>
      <c r="W30" s="96">
        <f>+(S30-U30)+S29/U29+S30</f>
        <v>11.245762711864407</v>
      </c>
      <c r="X30" s="34" t="s">
        <v>165</v>
      </c>
    </row>
    <row r="31" spans="2:28" ht="15" customHeight="1">
      <c r="B31" s="79" t="str">
        <f>IF(Daten!K10="","",Daten!K10)</f>
        <v>S2</v>
      </c>
      <c r="C31" s="80" t="str">
        <f>IF(Daten!L10="","",Daten!L10)</f>
        <v>TSV Ludwigshafen</v>
      </c>
      <c r="D31" s="84">
        <f>IF(R23="","",R23)</f>
        <v>32</v>
      </c>
      <c r="E31" s="85" t="s">
        <v>23</v>
      </c>
      <c r="F31" s="86">
        <f>IF(P23="","",P23)</f>
        <v>45</v>
      </c>
      <c r="G31" s="84">
        <f>IF(R25="","",R25)</f>
        <v>36</v>
      </c>
      <c r="H31" s="85" t="s">
        <v>23</v>
      </c>
      <c r="I31" s="86">
        <f>IF(P25="","",P25)</f>
        <v>39</v>
      </c>
      <c r="J31" s="84">
        <f>IF(R27="","",R27)</f>
        <v>36</v>
      </c>
      <c r="K31" s="85" t="s">
        <v>23</v>
      </c>
      <c r="L31" s="86">
        <f>IF(P27="","",P27)</f>
        <v>40</v>
      </c>
      <c r="M31" s="84">
        <f>IF(R29="","",R29)</f>
        <v>22</v>
      </c>
      <c r="N31" s="85" t="s">
        <v>23</v>
      </c>
      <c r="O31" s="86">
        <f>IF(P29="","",P29)</f>
        <v>39</v>
      </c>
      <c r="P31" s="81"/>
      <c r="Q31" s="82"/>
      <c r="R31" s="83"/>
      <c r="S31" s="84">
        <f>IF(X32="","",SUM(D31,G31,J31,M31,P31))</f>
        <v>126</v>
      </c>
      <c r="T31" s="85" t="s">
        <v>23</v>
      </c>
      <c r="U31" s="86">
        <f>IF(X32="","",SUM(F31,I31,L31,O31,R31))</f>
        <v>163</v>
      </c>
      <c r="V31" s="97">
        <f>IF(X31="","",RANK(W32,($W$24,$W$26,$W$28,$W$30,$W$32),0))</f>
        <v>5</v>
      </c>
      <c r="X31" s="34" t="s">
        <v>165</v>
      </c>
      <c r="AA31" s="28">
        <v>5</v>
      </c>
      <c r="AB31" s="28" t="str">
        <f>IF(V31="","",IF($V$23=5,$C$23,IF($V$25=5,$C$25,IF($V$27=5,$C$27,IF($V$29=5,$C$29,IF($V$31=5,$C$31,0))))))</f>
        <v>TSV Ludwigshafen</v>
      </c>
    </row>
    <row r="32" spans="2:24" ht="10.5" customHeight="1">
      <c r="B32" s="122"/>
      <c r="C32" s="123"/>
      <c r="D32" s="93">
        <f>IF(D31="","",IF(D31&gt;F31,2,IF(D31&lt;F31,0,1)))</f>
        <v>0</v>
      </c>
      <c r="E32" s="51" t="s">
        <v>24</v>
      </c>
      <c r="F32" s="94">
        <f>IF(F31="","",IF(F31&gt;D31,2,IF(F31&lt;D31,0,1)))</f>
        <v>2</v>
      </c>
      <c r="G32" s="93">
        <f>IF(G31="","",IF(G31&gt;I31,2,IF(G31&lt;I31,0,1)))</f>
        <v>0</v>
      </c>
      <c r="H32" s="51" t="s">
        <v>24</v>
      </c>
      <c r="I32" s="94">
        <f>IF(I31="","",IF(I31&gt;G31,2,IF(I31&lt;G31,0,1)))</f>
        <v>2</v>
      </c>
      <c r="J32" s="93">
        <f>IF(J31="","",IF(J31&gt;L31,2,IF(J31&lt;L31,0,1)))</f>
        <v>0</v>
      </c>
      <c r="K32" s="51" t="s">
        <v>24</v>
      </c>
      <c r="L32" s="94">
        <f>IF(L31="","",IF(L31&gt;J31,2,IF(L31&lt;J31,0,1)))</f>
        <v>2</v>
      </c>
      <c r="M32" s="93">
        <f>IF(M31="","",IF(M31&gt;O31,2,IF(M31&lt;O31,0,1)))</f>
        <v>0</v>
      </c>
      <c r="N32" s="51" t="s">
        <v>24</v>
      </c>
      <c r="O32" s="94">
        <f>IF(O31="","",IF(O31&gt;M31,2,IF(O31&lt;M31,0,1)))</f>
        <v>2</v>
      </c>
      <c r="P32" s="90"/>
      <c r="Q32" s="91"/>
      <c r="R32" s="92"/>
      <c r="S32" s="93">
        <f>IF(X32="","",SUM(D32,G32,J32,M32,P32))</f>
        <v>0</v>
      </c>
      <c r="T32" s="51" t="s">
        <v>24</v>
      </c>
      <c r="U32" s="94">
        <f>IF(X32="","",SUM(F32,I32,L32,O32,R32))</f>
        <v>8</v>
      </c>
      <c r="V32" s="95"/>
      <c r="W32" s="96">
        <f>+(S32-U32)+S31/U31+S32</f>
        <v>-7.226993865030675</v>
      </c>
      <c r="X32" s="34" t="s">
        <v>165</v>
      </c>
    </row>
    <row r="33" spans="2:24" ht="9.75" customHeight="1">
      <c r="B33" s="100"/>
      <c r="C33" s="100"/>
      <c r="D33" s="101"/>
      <c r="E33" s="85"/>
      <c r="F33" s="102"/>
      <c r="G33" s="101"/>
      <c r="H33" s="85"/>
      <c r="I33" s="102"/>
      <c r="J33" s="101"/>
      <c r="K33" s="85"/>
      <c r="L33" s="102"/>
      <c r="M33" s="101"/>
      <c r="N33" s="85"/>
      <c r="O33" s="102"/>
      <c r="P33" s="103"/>
      <c r="Q33" s="103"/>
      <c r="R33" s="103"/>
      <c r="S33" s="101"/>
      <c r="T33" s="85"/>
      <c r="U33" s="102"/>
      <c r="V33" s="104"/>
      <c r="W33" s="96"/>
      <c r="X33" s="34"/>
    </row>
    <row r="34" spans="2:24" ht="9.75" customHeight="1" outlineLevel="1">
      <c r="B34" s="105" t="s">
        <v>25</v>
      </c>
      <c r="C34" s="106" t="str">
        <f>+C23</f>
        <v>Linden Dahlhauser TV</v>
      </c>
      <c r="D34" s="107"/>
      <c r="E34" s="108"/>
      <c r="F34" s="109"/>
      <c r="G34" s="110"/>
      <c r="H34" s="111" t="s">
        <v>23</v>
      </c>
      <c r="I34" s="112"/>
      <c r="J34" s="110"/>
      <c r="K34" s="111" t="s">
        <v>23</v>
      </c>
      <c r="L34" s="112"/>
      <c r="M34" s="110"/>
      <c r="N34" s="111" t="s">
        <v>23</v>
      </c>
      <c r="O34" s="112"/>
      <c r="P34" s="113"/>
      <c r="Q34" s="111" t="s">
        <v>23</v>
      </c>
      <c r="R34" s="114"/>
      <c r="S34" s="55"/>
      <c r="T34" s="115"/>
      <c r="U34" s="116"/>
      <c r="V34" s="31"/>
      <c r="W34" s="96"/>
      <c r="X34" s="34"/>
    </row>
    <row r="35" spans="2:24" ht="9.75" customHeight="1" outlineLevel="1">
      <c r="B35" s="117"/>
      <c r="C35" s="106" t="str">
        <f>+C25</f>
        <v>TV Zeilhard </v>
      </c>
      <c r="D35" s="110">
        <f>IF(I34="","",I34)</f>
      </c>
      <c r="E35" s="111" t="s">
        <v>23</v>
      </c>
      <c r="F35" s="112">
        <f>IF(G34="","",G34)</f>
      </c>
      <c r="G35" s="107"/>
      <c r="H35" s="108"/>
      <c r="I35" s="109"/>
      <c r="J35" s="110"/>
      <c r="K35" s="111" t="s">
        <v>23</v>
      </c>
      <c r="L35" s="112"/>
      <c r="M35" s="110"/>
      <c r="N35" s="111" t="s">
        <v>23</v>
      </c>
      <c r="O35" s="112"/>
      <c r="P35" s="113"/>
      <c r="Q35" s="111" t="s">
        <v>23</v>
      </c>
      <c r="R35" s="114"/>
      <c r="S35" s="55"/>
      <c r="T35" s="115"/>
      <c r="U35" s="116"/>
      <c r="V35" s="31"/>
      <c r="W35" s="96"/>
      <c r="X35" s="34"/>
    </row>
    <row r="36" spans="2:24" ht="9.75" customHeight="1" outlineLevel="1">
      <c r="B36" s="117"/>
      <c r="C36" s="106" t="str">
        <f>+C27</f>
        <v>TuS Harsefeld</v>
      </c>
      <c r="D36" s="110">
        <f>IF(L34="","",L34)</f>
      </c>
      <c r="E36" s="111" t="s">
        <v>23</v>
      </c>
      <c r="F36" s="112">
        <f>IF(J34="","",J34)</f>
      </c>
      <c r="G36" s="110">
        <f>IF(L35="","",L35)</f>
      </c>
      <c r="H36" s="111" t="s">
        <v>23</v>
      </c>
      <c r="I36" s="112">
        <f>IF(J35="","",J35)</f>
      </c>
      <c r="J36" s="107"/>
      <c r="K36" s="108"/>
      <c r="L36" s="109"/>
      <c r="M36" s="110"/>
      <c r="N36" s="111" t="s">
        <v>23</v>
      </c>
      <c r="O36" s="112"/>
      <c r="P36" s="113"/>
      <c r="Q36" s="111" t="s">
        <v>23</v>
      </c>
      <c r="R36" s="114"/>
      <c r="S36" s="55"/>
      <c r="T36" s="115"/>
      <c r="U36" s="116"/>
      <c r="V36" s="31"/>
      <c r="W36" s="96"/>
      <c r="X36" s="34"/>
    </row>
    <row r="37" spans="2:24" ht="9.75" customHeight="1" outlineLevel="1">
      <c r="B37" s="117"/>
      <c r="C37" s="106" t="str">
        <f>+C29</f>
        <v>MTV Markoldendorf</v>
      </c>
      <c r="D37" s="110">
        <f>IF(O34="","",O34)</f>
      </c>
      <c r="E37" s="111" t="s">
        <v>23</v>
      </c>
      <c r="F37" s="112">
        <f>IF(M34="","",M34)</f>
      </c>
      <c r="G37" s="110">
        <f>IF(O35="","",O35)</f>
      </c>
      <c r="H37" s="111" t="s">
        <v>23</v>
      </c>
      <c r="I37" s="112">
        <f>IF(M35="","",M35)</f>
      </c>
      <c r="J37" s="110">
        <f>IF(O36="","",O36)</f>
      </c>
      <c r="K37" s="111" t="s">
        <v>23</v>
      </c>
      <c r="L37" s="112">
        <f>IF(M36="","",M36)</f>
      </c>
      <c r="M37" s="107"/>
      <c r="N37" s="108"/>
      <c r="O37" s="109"/>
      <c r="P37" s="113"/>
      <c r="Q37" s="111" t="s">
        <v>23</v>
      </c>
      <c r="R37" s="114"/>
      <c r="S37" s="55"/>
      <c r="T37" s="115"/>
      <c r="U37" s="116"/>
      <c r="V37" s="31"/>
      <c r="W37" s="96"/>
      <c r="X37" s="34"/>
    </row>
    <row r="38" spans="3:18" ht="9.75" customHeight="1" outlineLevel="1">
      <c r="C38" s="106" t="str">
        <f>+C31</f>
        <v>TSV Ludwigshafen</v>
      </c>
      <c r="D38" s="110">
        <f>IF(R34="","",R34)</f>
      </c>
      <c r="E38" s="111" t="s">
        <v>23</v>
      </c>
      <c r="F38" s="112">
        <f>IF(P34="","",P34)</f>
      </c>
      <c r="G38" s="110">
        <f>IF(R35="","",R35)</f>
      </c>
      <c r="H38" s="111" t="s">
        <v>23</v>
      </c>
      <c r="I38" s="112">
        <f>IF(P35="","",P35)</f>
      </c>
      <c r="J38" s="110">
        <f>IF(R36="","",R36)</f>
      </c>
      <c r="K38" s="111" t="s">
        <v>23</v>
      </c>
      <c r="L38" s="112">
        <f>IF(P36="","",P36)</f>
      </c>
      <c r="M38" s="110">
        <f>IF(R37="","",R37)</f>
      </c>
      <c r="N38" s="111" t="s">
        <v>23</v>
      </c>
      <c r="O38" s="112">
        <f>IF(P37="","",P37)</f>
      </c>
      <c r="P38" s="107"/>
      <c r="Q38" s="108"/>
      <c r="R38" s="109"/>
    </row>
    <row r="39" ht="18" customHeight="1">
      <c r="B39" s="30" t="s">
        <v>100</v>
      </c>
    </row>
    <row r="40" spans="1:15" ht="17.25" customHeight="1">
      <c r="A40" s="28" t="s">
        <v>26</v>
      </c>
      <c r="B40" s="124" t="str">
        <f>"4."&amp;+$C$4&amp;"  5."&amp;+$C$22</f>
        <v>4.Gruppe C  5.Gruppe D</v>
      </c>
      <c r="C40" s="125" t="str">
        <f>IF(M40="","",$AB$11&amp;" : "&amp;$AB$31)</f>
        <v>GW Wuppertal : TSV Ludwigshafen</v>
      </c>
      <c r="D40" s="126"/>
      <c r="E40" s="126"/>
      <c r="F40" s="126"/>
      <c r="G40" s="126"/>
      <c r="H40" s="127"/>
      <c r="I40" s="119"/>
      <c r="J40" s="128">
        <f>IF(Sonntag!Q25="","",Sonntag!Q25)</f>
        <v>52</v>
      </c>
      <c r="K40" s="129" t="s">
        <v>23</v>
      </c>
      <c r="L40" s="130">
        <f>IF(Sonntag!S25="","",Sonntag!S25)</f>
        <v>53</v>
      </c>
      <c r="M40" s="131" t="s">
        <v>165</v>
      </c>
      <c r="N40" s="132"/>
      <c r="O40" s="67"/>
    </row>
    <row r="41" spans="1:13" ht="4.5" customHeight="1">
      <c r="A41" s="31"/>
      <c r="B41" s="56"/>
      <c r="C41" s="31"/>
      <c r="D41" s="133"/>
      <c r="E41" s="134"/>
      <c r="F41" s="133"/>
      <c r="G41" s="133"/>
      <c r="H41" s="133"/>
      <c r="I41" s="133"/>
      <c r="J41" s="135"/>
      <c r="L41" s="136"/>
      <c r="M41" s="36"/>
    </row>
    <row r="42" spans="1:14" ht="17.25" customHeight="1">
      <c r="A42" s="28" t="s">
        <v>27</v>
      </c>
      <c r="B42" s="124" t="str">
        <f>"4."&amp;+$C$22&amp;"  5."&amp;+$C$4</f>
        <v>4.Gruppe D  5.Gruppe C</v>
      </c>
      <c r="C42" s="125" t="str">
        <f>IF(M42="","",$AB$29&amp;" : "&amp;$AB$13)</f>
        <v>TuS Harsefeld : VfL Waiblingen</v>
      </c>
      <c r="D42" s="137"/>
      <c r="E42" s="137"/>
      <c r="F42" s="137"/>
      <c r="G42" s="137"/>
      <c r="H42" s="137"/>
      <c r="I42" s="75"/>
      <c r="J42" s="128">
        <f>IF(Sonntag!Q26="","",Sonntag!Q26)</f>
        <v>62</v>
      </c>
      <c r="K42" s="129" t="s">
        <v>23</v>
      </c>
      <c r="L42" s="130">
        <f>IF(Sonntag!S26="","",Sonntag!S26)</f>
        <v>63</v>
      </c>
      <c r="M42" s="131" t="s">
        <v>165</v>
      </c>
      <c r="N42" s="132"/>
    </row>
    <row r="43" spans="2:22" ht="18" customHeight="1">
      <c r="B43" s="156" t="s">
        <v>101</v>
      </c>
      <c r="C43" s="133"/>
      <c r="D43" s="133"/>
      <c r="E43" s="134"/>
      <c r="F43" s="133"/>
      <c r="G43" s="133"/>
      <c r="H43" s="133"/>
      <c r="I43" s="133"/>
      <c r="J43" s="135"/>
      <c r="L43" s="136"/>
      <c r="M43" s="36"/>
      <c r="P43" s="31"/>
      <c r="Q43" s="31"/>
      <c r="R43" s="31"/>
      <c r="S43" s="31"/>
      <c r="T43" s="31"/>
      <c r="U43" s="31"/>
      <c r="V43" s="31"/>
    </row>
    <row r="44" spans="2:22" ht="17.25" customHeight="1">
      <c r="B44" s="161" t="str">
        <f>"V."&amp;A40&amp;"/"&amp;A42&amp;"      9./10. Pl."</f>
        <v>V.a/b      9./10. Pl.</v>
      </c>
      <c r="C44" s="138" t="str">
        <f>IF(M44="","",IF(J40="","",Sonntag!H33)&amp;" : "&amp;IF(J42="","",Sonntag!L33))</f>
        <v>GW Wuppertal : TuS Harsefeld</v>
      </c>
      <c r="D44" s="137"/>
      <c r="E44" s="137"/>
      <c r="F44" s="137"/>
      <c r="G44" s="137"/>
      <c r="H44" s="137"/>
      <c r="I44" s="75"/>
      <c r="J44" s="128">
        <f>IF(Sonntag!Q33="","",Sonntag!Q33)</f>
        <v>41</v>
      </c>
      <c r="K44" s="129" t="s">
        <v>23</v>
      </c>
      <c r="L44" s="130">
        <f>IF(Sonntag!S33="","",Sonntag!S33)</f>
        <v>40</v>
      </c>
      <c r="M44" s="36" t="s">
        <v>165</v>
      </c>
      <c r="O44" s="40" t="s">
        <v>28</v>
      </c>
      <c r="P44" s="139"/>
      <c r="Q44" s="139"/>
      <c r="R44" s="139"/>
      <c r="S44" s="139"/>
      <c r="T44" s="139"/>
      <c r="U44" s="139"/>
      <c r="V44" s="139"/>
    </row>
    <row r="45" spans="2:22" ht="4.5" customHeight="1">
      <c r="B45" s="162"/>
      <c r="C45" s="133"/>
      <c r="D45" s="133"/>
      <c r="E45" s="133"/>
      <c r="F45" s="133"/>
      <c r="G45" s="133"/>
      <c r="H45" s="134"/>
      <c r="I45" s="133"/>
      <c r="J45" s="135"/>
      <c r="L45" s="136"/>
      <c r="M45" s="36"/>
      <c r="P45" s="31"/>
      <c r="Q45" s="31"/>
      <c r="R45" s="31"/>
      <c r="S45" s="31"/>
      <c r="T45" s="31"/>
      <c r="U45" s="31"/>
      <c r="V45" s="31"/>
    </row>
    <row r="46" spans="2:22" ht="17.25" customHeight="1">
      <c r="B46" s="161" t="str">
        <f>"S."&amp;A40&amp;"/"&amp;A42&amp;"      7./8. Pl."</f>
        <v>S.a/b      7./8. Pl.</v>
      </c>
      <c r="C46" s="138" t="str">
        <f>IF(M46="","",IF($J$40="","",Sonntag!H34)&amp;" : "&amp;IF($J$42="","",Sonntag!L34))</f>
        <v>TSV Ludwigshafen : VfL Waiblingen</v>
      </c>
      <c r="D46" s="126"/>
      <c r="E46" s="127"/>
      <c r="F46" s="126"/>
      <c r="G46" s="126"/>
      <c r="H46" s="126"/>
      <c r="I46" s="119"/>
      <c r="J46" s="128">
        <f>IF(Sonntag!Q34="","",Sonntag!Q34)</f>
        <v>38</v>
      </c>
      <c r="K46" s="129" t="s">
        <v>23</v>
      </c>
      <c r="L46" s="130">
        <f>IF(Sonntag!S34="","",Sonntag!S34)</f>
        <v>41</v>
      </c>
      <c r="M46" s="36" t="s">
        <v>165</v>
      </c>
      <c r="O46" s="159">
        <v>1</v>
      </c>
      <c r="P46" s="141" t="str">
        <f>" "&amp;IF(J60="","",IF(Sonntag!Q64&gt;Sonntag!S64,Sonntag!H64,Sonntag!L64))</f>
        <v> Vegesacker TV</v>
      </c>
      <c r="Q46" s="141"/>
      <c r="R46" s="141"/>
      <c r="S46" s="141"/>
      <c r="T46" s="141"/>
      <c r="U46" s="141"/>
      <c r="V46" s="142"/>
    </row>
    <row r="47" spans="2:22" ht="18" customHeight="1">
      <c r="B47" s="156" t="s">
        <v>29</v>
      </c>
      <c r="C47" s="133"/>
      <c r="D47" s="133"/>
      <c r="E47" s="133"/>
      <c r="F47" s="133"/>
      <c r="G47" s="133"/>
      <c r="H47" s="134"/>
      <c r="I47" s="133"/>
      <c r="J47" s="135"/>
      <c r="L47" s="136"/>
      <c r="M47" s="36"/>
      <c r="O47" s="143">
        <v>2</v>
      </c>
      <c r="P47" s="144" t="str">
        <f>" "&amp;IF(J60="","",IF(Sonntag!Q64&lt;Sonntag!S64,Sonntag!H64,Sonntag!L64))</f>
        <v> Linden Dahlhauser TV</v>
      </c>
      <c r="Q47" s="67"/>
      <c r="R47" s="67"/>
      <c r="S47" s="67"/>
      <c r="T47" s="67"/>
      <c r="U47" s="67"/>
      <c r="V47" s="145"/>
    </row>
    <row r="48" spans="1:22" ht="17.25" customHeight="1">
      <c r="A48" s="28" t="s">
        <v>30</v>
      </c>
      <c r="B48" s="124" t="str">
        <f>"2."&amp;+$C$4&amp;"  3."&amp;+$C$22</f>
        <v>2.Gruppe C  3.Gruppe D</v>
      </c>
      <c r="C48" s="125" t="str">
        <f>IF(M48="","",$AB$7&amp;" : "&amp;$AB$27)</f>
        <v>TV Mahndorf : TV Zeilhard </v>
      </c>
      <c r="D48" s="126"/>
      <c r="E48" s="127"/>
      <c r="F48" s="126"/>
      <c r="G48" s="126"/>
      <c r="H48" s="126"/>
      <c r="I48" s="119"/>
      <c r="J48" s="128">
        <f>IF(Sonntag!Q40="","",Sonntag!Q40)</f>
        <v>37</v>
      </c>
      <c r="K48" s="129" t="s">
        <v>23</v>
      </c>
      <c r="L48" s="130">
        <f>IF(Sonntag!S40="","",Sonntag!S40)</f>
        <v>38</v>
      </c>
      <c r="M48" s="36" t="s">
        <v>165</v>
      </c>
      <c r="O48" s="143">
        <v>3</v>
      </c>
      <c r="P48" s="146" t="str">
        <f>" "&amp;IF(J58="","",IF(Sonntag!Q60&gt;Sonntag!S60,Sonntag!H60,Sonntag!L60))</f>
        <v> MTV Markoldendorf</v>
      </c>
      <c r="Q48" s="67"/>
      <c r="R48" s="67"/>
      <c r="S48" s="67"/>
      <c r="T48" s="67"/>
      <c r="U48" s="67"/>
      <c r="V48" s="145"/>
    </row>
    <row r="49" spans="2:22" ht="4.5" customHeight="1">
      <c r="B49" s="133"/>
      <c r="C49" s="133"/>
      <c r="D49" s="133"/>
      <c r="E49" s="133"/>
      <c r="F49" s="133"/>
      <c r="G49" s="133"/>
      <c r="H49" s="133"/>
      <c r="I49" s="133"/>
      <c r="J49" s="135"/>
      <c r="L49" s="136"/>
      <c r="M49" s="36"/>
      <c r="O49" s="143"/>
      <c r="P49" s="67"/>
      <c r="Q49" s="67"/>
      <c r="R49" s="67"/>
      <c r="S49" s="67"/>
      <c r="T49" s="67"/>
      <c r="U49" s="67"/>
      <c r="V49" s="145"/>
    </row>
    <row r="50" spans="1:22" ht="17.25" customHeight="1">
      <c r="A50" s="28" t="s">
        <v>31</v>
      </c>
      <c r="B50" s="124" t="str">
        <f>"2."&amp;+$C$22&amp;"  3."&amp;+$C$4</f>
        <v>2.Gruppe D  3.Gruppe C</v>
      </c>
      <c r="C50" s="125" t="str">
        <f>IF(M50="","",$AB$25&amp;" : "&amp;$AB$9)</f>
        <v>MTV Markoldendorf : PV Gundernhausen</v>
      </c>
      <c r="D50" s="126"/>
      <c r="E50" s="126"/>
      <c r="F50" s="126"/>
      <c r="G50" s="126"/>
      <c r="H50" s="127"/>
      <c r="I50" s="119"/>
      <c r="J50" s="128">
        <f>IF(Sonntag!Q44="","",Sonntag!Q44)</f>
        <v>35</v>
      </c>
      <c r="K50" s="129" t="s">
        <v>23</v>
      </c>
      <c r="L50" s="130">
        <f>IF(Sonntag!S44="","",Sonntag!S44)</f>
        <v>32</v>
      </c>
      <c r="M50" s="36" t="s">
        <v>165</v>
      </c>
      <c r="O50" s="143">
        <v>4</v>
      </c>
      <c r="P50" s="146" t="str">
        <f>" "&amp;IF(J58="","",IF(Sonntag!Q60&lt;Sonntag!S60,Sonntag!H60,Sonntag!L60))</f>
        <v> TV Zeilhard </v>
      </c>
      <c r="Q50" s="67"/>
      <c r="R50" s="67"/>
      <c r="S50" s="67"/>
      <c r="T50" s="67"/>
      <c r="U50" s="67"/>
      <c r="V50" s="145"/>
    </row>
    <row r="51" spans="2:22" ht="18" customHeight="1">
      <c r="B51" s="155" t="s">
        <v>32</v>
      </c>
      <c r="C51" s="133"/>
      <c r="D51" s="133"/>
      <c r="E51" s="133"/>
      <c r="F51" s="133"/>
      <c r="G51" s="133"/>
      <c r="H51" s="133"/>
      <c r="I51" s="133"/>
      <c r="J51" s="135"/>
      <c r="L51" s="136"/>
      <c r="M51" s="36"/>
      <c r="O51" s="143">
        <v>5</v>
      </c>
      <c r="P51" s="146" t="str">
        <f>" "&amp;IF(J56="","",IF(Sonntag!Q56&gt;Sonntag!S56,Sonntag!H56,Sonntag!L56))</f>
        <v> PV Gundernhausen</v>
      </c>
      <c r="Q51" s="67"/>
      <c r="R51" s="67"/>
      <c r="S51" s="67"/>
      <c r="T51" s="67"/>
      <c r="U51" s="67"/>
      <c r="V51" s="145"/>
    </row>
    <row r="52" spans="1:22" ht="17.25" customHeight="1">
      <c r="A52" s="28" t="s">
        <v>33</v>
      </c>
      <c r="B52" s="124" t="str">
        <f>"1."&amp;+$C$4&amp;"  Sieger "&amp;+$A$50</f>
        <v>1.Gruppe C  Sieger d</v>
      </c>
      <c r="C52" s="138" t="str">
        <f>IF(M52="","",$AB$5&amp;" : "&amp;IF(J50="","",Sonntag!L52))</f>
        <v>Vegesacker TV : MTV Markoldendorf</v>
      </c>
      <c r="D52" s="126"/>
      <c r="E52" s="126"/>
      <c r="F52" s="126"/>
      <c r="G52" s="126"/>
      <c r="H52" s="127"/>
      <c r="I52" s="119"/>
      <c r="J52" s="128">
        <f>IF(Sonntag!Q52="","",Sonntag!Q52)</f>
        <v>47</v>
      </c>
      <c r="K52" s="129" t="s">
        <v>23</v>
      </c>
      <c r="L52" s="130">
        <f>IF(Sonntag!S52="","",Sonntag!S52)</f>
        <v>39</v>
      </c>
      <c r="M52" s="36" t="s">
        <v>165</v>
      </c>
      <c r="O52" s="143">
        <v>6</v>
      </c>
      <c r="P52" s="146" t="str">
        <f>" "&amp;IF(J56="","",IF(Sonntag!Q56&lt;Sonntag!S56,Sonntag!H56,Sonntag!L56))</f>
        <v> TV Mahndorf</v>
      </c>
      <c r="Q52" s="67"/>
      <c r="R52" s="67"/>
      <c r="S52" s="67"/>
      <c r="T52" s="67"/>
      <c r="U52" s="67"/>
      <c r="V52" s="145"/>
    </row>
    <row r="53" spans="2:22" ht="4.5" customHeight="1">
      <c r="B53" s="134"/>
      <c r="C53" s="133"/>
      <c r="D53" s="133"/>
      <c r="E53" s="134"/>
      <c r="F53" s="133"/>
      <c r="G53" s="133"/>
      <c r="H53" s="133"/>
      <c r="I53" s="133"/>
      <c r="J53" s="135"/>
      <c r="L53" s="136"/>
      <c r="M53" s="36"/>
      <c r="O53" s="143"/>
      <c r="P53" s="67"/>
      <c r="Q53" s="67"/>
      <c r="R53" s="67"/>
      <c r="S53" s="67"/>
      <c r="T53" s="67"/>
      <c r="U53" s="67"/>
      <c r="V53" s="145"/>
    </row>
    <row r="54" spans="1:22" ht="17.25" customHeight="1">
      <c r="A54" s="28" t="s">
        <v>34</v>
      </c>
      <c r="B54" s="124" t="str">
        <f>"1."&amp;+$C$22&amp;"  Sieger "&amp;+$A$48</f>
        <v>1.Gruppe D  Sieger c</v>
      </c>
      <c r="C54" s="138" t="str">
        <f>IF(M54="","",$AB$23&amp;" : "&amp;IF(J48="","",Sonntag!L48))</f>
        <v>Linden Dahlhauser TV : TV Zeilhard </v>
      </c>
      <c r="D54" s="126"/>
      <c r="E54" s="126"/>
      <c r="F54" s="126"/>
      <c r="G54" s="126"/>
      <c r="H54" s="126"/>
      <c r="I54" s="119"/>
      <c r="J54" s="128">
        <f>IF(Sonntag!Q48="","",Sonntag!Q48)</f>
        <v>41</v>
      </c>
      <c r="K54" s="129" t="s">
        <v>23</v>
      </c>
      <c r="L54" s="130">
        <f>IF(Sonntag!S48="","",Sonntag!S48)</f>
        <v>37</v>
      </c>
      <c r="M54" s="36" t="s">
        <v>165</v>
      </c>
      <c r="O54" s="143">
        <v>7</v>
      </c>
      <c r="P54" s="146" t="str">
        <f>" "&amp;IF(J46="","",IF(Sonntag!Q34&gt;Sonntag!S34,Sonntag!H34,Sonntag!L34))</f>
        <v> VfL Waiblingen</v>
      </c>
      <c r="Q54" s="67"/>
      <c r="R54" s="67"/>
      <c r="S54" s="67"/>
      <c r="T54" s="67"/>
      <c r="U54" s="67"/>
      <c r="V54" s="145"/>
    </row>
    <row r="55" spans="2:22" ht="18" customHeight="1">
      <c r="B55" s="158" t="s">
        <v>102</v>
      </c>
      <c r="C55" s="133"/>
      <c r="D55" s="133"/>
      <c r="E55" s="134"/>
      <c r="F55" s="133"/>
      <c r="G55" s="133"/>
      <c r="H55" s="133"/>
      <c r="I55" s="133"/>
      <c r="J55" s="135"/>
      <c r="L55" s="136"/>
      <c r="M55" s="36"/>
      <c r="O55" s="143">
        <v>8</v>
      </c>
      <c r="P55" s="146" t="str">
        <f>" "&amp;IF(J46="","",IF(Sonntag!Q34&lt;Sonntag!S34,Sonntag!H34,Sonntag!L34))</f>
        <v> TSV Ludwigshafen</v>
      </c>
      <c r="Q55" s="67"/>
      <c r="R55" s="67"/>
      <c r="S55" s="67"/>
      <c r="T55" s="67"/>
      <c r="U55" s="67"/>
      <c r="V55" s="145"/>
    </row>
    <row r="56" spans="2:22" ht="17.25" customHeight="1">
      <c r="B56" s="161" t="str">
        <f>"V."&amp;A48&amp;"/"&amp;A50&amp;"         5./6. Pl."</f>
        <v>V.c/d         5./6. Pl.</v>
      </c>
      <c r="C56" s="138" t="str">
        <f>IF(M56="","",IF(J48="","",Sonntag!H56)&amp;" : "&amp;IF(J50="","",Sonntag!L56))</f>
        <v>TV Mahndorf : PV Gundernhausen</v>
      </c>
      <c r="D56" s="126"/>
      <c r="E56" s="126"/>
      <c r="F56" s="126"/>
      <c r="G56" s="126"/>
      <c r="H56" s="126"/>
      <c r="I56" s="119"/>
      <c r="J56" s="128">
        <f>IF(Sonntag!Q56="","",Sonntag!Q56)</f>
        <v>49</v>
      </c>
      <c r="K56" s="129" t="s">
        <v>23</v>
      </c>
      <c r="L56" s="130">
        <f>IF(Sonntag!S56="","",Sonntag!S56)</f>
        <v>58</v>
      </c>
      <c r="M56" s="36" t="s">
        <v>165</v>
      </c>
      <c r="O56" s="143">
        <v>9</v>
      </c>
      <c r="P56" s="146" t="str">
        <f>" "&amp;IF(J44="","",IF(Sonntag!Q33&gt;Sonntag!S33,Sonntag!H33,Sonntag!L33))</f>
        <v> GW Wuppertal</v>
      </c>
      <c r="Q56" s="67"/>
      <c r="R56" s="67"/>
      <c r="S56" s="67"/>
      <c r="T56" s="67"/>
      <c r="U56" s="67"/>
      <c r="V56" s="145"/>
    </row>
    <row r="57" spans="2:22" ht="4.5" customHeight="1">
      <c r="B57" s="133"/>
      <c r="C57" s="133"/>
      <c r="D57" s="133"/>
      <c r="E57" s="133"/>
      <c r="F57" s="133"/>
      <c r="G57" s="133"/>
      <c r="H57" s="134"/>
      <c r="I57" s="133"/>
      <c r="J57" s="135"/>
      <c r="L57" s="136"/>
      <c r="M57" s="36"/>
      <c r="O57" s="143"/>
      <c r="P57" s="67"/>
      <c r="Q57" s="67"/>
      <c r="R57" s="67"/>
      <c r="S57" s="67"/>
      <c r="T57" s="67"/>
      <c r="U57" s="67"/>
      <c r="V57" s="145"/>
    </row>
    <row r="58" spans="2:22" ht="17.25" customHeight="1">
      <c r="B58" s="161" t="str">
        <f>"V."&amp;A52&amp;"/"&amp;A54&amp;"         3./4. Pl."</f>
        <v>V.e/f         3./4. Pl.</v>
      </c>
      <c r="C58" s="138" t="str">
        <f>IF(M58="","",IF(J52="","",Sonntag!H60)&amp;" : "&amp;IF(J54="","",Sonntag!L60))</f>
        <v>TV Zeilhard  : MTV Markoldendorf</v>
      </c>
      <c r="D58" s="126"/>
      <c r="E58" s="127"/>
      <c r="F58" s="126"/>
      <c r="G58" s="126"/>
      <c r="H58" s="126"/>
      <c r="I58" s="119"/>
      <c r="J58" s="128">
        <f>IF(Sonntag!Q60="","",Sonntag!Q60)</f>
        <v>29</v>
      </c>
      <c r="K58" s="129" t="s">
        <v>23</v>
      </c>
      <c r="L58" s="130">
        <f>IF(Sonntag!S60="","",Sonntag!S60)</f>
        <v>39</v>
      </c>
      <c r="M58" s="36" t="s">
        <v>165</v>
      </c>
      <c r="O58" s="147">
        <v>10</v>
      </c>
      <c r="P58" s="148" t="str">
        <f>" "&amp;IF(J44="","",IF(Sonntag!Q33&lt;Sonntag!S33,Sonntag!H33,Sonntag!L33))</f>
        <v> TuS Harsefeld</v>
      </c>
      <c r="Q58" s="149"/>
      <c r="R58" s="149"/>
      <c r="S58" s="149"/>
      <c r="T58" s="149"/>
      <c r="U58" s="149"/>
      <c r="V58" s="150"/>
    </row>
    <row r="59" spans="2:13" ht="18" customHeight="1">
      <c r="B59" s="157" t="s">
        <v>35</v>
      </c>
      <c r="C59" s="31"/>
      <c r="D59" s="133"/>
      <c r="E59" s="133"/>
      <c r="F59" s="133"/>
      <c r="G59" s="31"/>
      <c r="H59" s="151"/>
      <c r="I59" s="31"/>
      <c r="J59" s="135"/>
      <c r="L59" s="136"/>
      <c r="M59" s="36"/>
    </row>
    <row r="60" spans="2:13" ht="17.25" customHeight="1">
      <c r="B60" s="161" t="str">
        <f>"S."&amp;A52&amp;"/"&amp;A54&amp;"         1./2. Pl."</f>
        <v>S.e/f         1./2. Pl.</v>
      </c>
      <c r="C60" s="138" t="str">
        <f>IF(M60="","",IF(J52="","",Sonntag!H64)&amp;" : "&amp;IF(J54="","",Sonntag!L64))</f>
        <v>Linden Dahlhauser TV : Vegesacker TV</v>
      </c>
      <c r="D60" s="137"/>
      <c r="E60" s="152"/>
      <c r="F60" s="137"/>
      <c r="G60" s="126"/>
      <c r="H60" s="126"/>
      <c r="I60" s="119"/>
      <c r="J60" s="128">
        <f>IF(Sonntag!Q64="","",Sonntag!Q64)</f>
        <v>38</v>
      </c>
      <c r="K60" s="129" t="s">
        <v>23</v>
      </c>
      <c r="L60" s="130">
        <f>IF(Sonntag!S64="","",Sonntag!S64)</f>
        <v>45</v>
      </c>
      <c r="M60" s="36" t="s">
        <v>165</v>
      </c>
    </row>
  </sheetData>
  <printOptions horizontalCentered="1" verticalCentered="1"/>
  <pageMargins left="0.35433070866141736" right="0.35433070866141736" top="0.1968503937007874" bottom="0.3937007874015748" header="0.5118110236220472" footer="0.5118110236220472"/>
  <pageSetup horizontalDpi="300" verticalDpi="300" orientation="portrait" paperSize="9" r:id="rId3"/>
  <headerFooter alignWithMargins="0">
    <oddFooter>&amp;R&amp;6&amp;D; &amp;F;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="75" zoomScaleNormal="75" workbookViewId="0" topLeftCell="A8">
      <selection activeCell="O17" sqref="O17"/>
    </sheetView>
  </sheetViews>
  <sheetFormatPr defaultColWidth="11.421875" defaultRowHeight="12.75" outlineLevelRow="1"/>
  <cols>
    <col min="1" max="1" width="2.00390625" style="28" customWidth="1"/>
    <col min="2" max="2" width="6.8515625" style="28" customWidth="1"/>
    <col min="3" max="3" width="24.7109375" style="28" customWidth="1"/>
    <col min="4" max="4" width="4.00390625" style="28" customWidth="1"/>
    <col min="5" max="5" width="1.7109375" style="28" customWidth="1"/>
    <col min="6" max="7" width="4.00390625" style="28" customWidth="1"/>
    <col min="8" max="8" width="1.7109375" style="28" customWidth="1"/>
    <col min="9" max="10" width="4.00390625" style="28" customWidth="1"/>
    <col min="11" max="11" width="1.7109375" style="28" customWidth="1"/>
    <col min="12" max="13" width="4.00390625" style="28" customWidth="1"/>
    <col min="14" max="14" width="1.7109375" style="28" customWidth="1"/>
    <col min="15" max="16" width="4.00390625" style="28" customWidth="1"/>
    <col min="17" max="17" width="1.7109375" style="28" customWidth="1"/>
    <col min="18" max="19" width="4.00390625" style="28" customWidth="1"/>
    <col min="20" max="20" width="1.7109375" style="28" customWidth="1"/>
    <col min="21" max="21" width="4.00390625" style="28" customWidth="1"/>
    <col min="22" max="22" width="4.7109375" style="28" customWidth="1"/>
    <col min="23" max="23" width="6.57421875" style="28" hidden="1" customWidth="1"/>
    <col min="24" max="24" width="4.00390625" style="28" customWidth="1"/>
    <col min="25" max="25" width="4.8515625" style="28" customWidth="1"/>
    <col min="26" max="26" width="1.7109375" style="28" customWidth="1"/>
    <col min="27" max="28" width="4.00390625" style="28" customWidth="1"/>
    <col min="29" max="29" width="1.7109375" style="28" customWidth="1"/>
    <col min="30" max="30" width="4.00390625" style="28" customWidth="1"/>
    <col min="31" max="16384" width="11.421875" style="28" customWidth="1"/>
  </cols>
  <sheetData>
    <row r="1" spans="1:22" s="30" customFormat="1" ht="24.75" customHeight="1">
      <c r="A1" s="153"/>
      <c r="B1" s="61" t="str">
        <f>+Daten!A1&amp;" "&amp;Daten!B1&amp;" "&amp;Daten!I1</f>
        <v>44. Deutsche Prellball Meisterschaften der Jugend 2007</v>
      </c>
      <c r="C1" s="154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2:22" ht="21.75" customHeight="1">
      <c r="B2" s="63" t="s">
        <v>20</v>
      </c>
      <c r="C2" s="64"/>
      <c r="D2" s="65"/>
      <c r="E2" s="66"/>
      <c r="F2" s="65"/>
      <c r="G2" s="67"/>
      <c r="H2" s="67"/>
      <c r="I2" s="67"/>
      <c r="J2" s="67"/>
      <c r="K2" s="67"/>
      <c r="L2" s="67"/>
      <c r="M2" s="67"/>
      <c r="N2" s="67"/>
      <c r="O2" s="63" t="str">
        <f>+Daten!C12</f>
        <v>weibl. Jugend 15-18</v>
      </c>
      <c r="P2" s="68"/>
      <c r="Q2" s="68"/>
      <c r="R2" s="68"/>
      <c r="S2" s="69"/>
      <c r="T2" s="69"/>
      <c r="U2" s="69"/>
      <c r="V2" s="64"/>
    </row>
    <row r="3" spans="2:22" ht="6.75" customHeight="1">
      <c r="B3" s="70"/>
      <c r="C3" s="67"/>
      <c r="D3" s="65"/>
      <c r="E3" s="66"/>
      <c r="F3" s="65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67"/>
      <c r="T3" s="67"/>
      <c r="U3" s="67"/>
      <c r="V3" s="67"/>
    </row>
    <row r="4" spans="2:29" ht="12.75" customHeight="1">
      <c r="B4" s="71"/>
      <c r="C4" s="72" t="str">
        <f>+Daten!C13</f>
        <v>Gruppe E</v>
      </c>
      <c r="D4" s="185"/>
      <c r="E4" s="181" t="str">
        <f>+C5</f>
        <v>TV Hochneukirch</v>
      </c>
      <c r="F4" s="182"/>
      <c r="G4" s="183"/>
      <c r="H4" s="181" t="str">
        <f>+C7</f>
        <v>TV Zeilhard</v>
      </c>
      <c r="I4" s="184"/>
      <c r="J4" s="183"/>
      <c r="K4" s="181" t="str">
        <f>+C9</f>
        <v>TSV Babenhausen</v>
      </c>
      <c r="L4" s="184"/>
      <c r="M4" s="183"/>
      <c r="N4" s="181" t="str">
        <f>+C11</f>
        <v>TV Freiburg St. Georgen</v>
      </c>
      <c r="O4" s="184"/>
      <c r="P4" s="183"/>
      <c r="Q4" s="181" t="str">
        <f>+C13</f>
        <v>Vegesacker TV</v>
      </c>
      <c r="R4" s="184"/>
      <c r="S4" s="74"/>
      <c r="T4" s="76" t="s">
        <v>21</v>
      </c>
      <c r="U4" s="75"/>
      <c r="V4" s="77" t="s">
        <v>22</v>
      </c>
      <c r="AC4" s="78"/>
    </row>
    <row r="5" spans="2:28" ht="15" customHeight="1">
      <c r="B5" s="79" t="str">
        <f>IF(Daten!B14="","",Daten!B14)</f>
        <v>W2</v>
      </c>
      <c r="C5" s="80" t="str">
        <f>IF(Daten!C14="","",Daten!C14)</f>
        <v>TV Hochneukirch</v>
      </c>
      <c r="D5" s="81"/>
      <c r="E5" s="82"/>
      <c r="F5" s="83"/>
      <c r="G5" s="84">
        <f>IF(Samstag!$Q79="","",Samstag!$Q79)</f>
        <v>36</v>
      </c>
      <c r="H5" s="85" t="s">
        <v>23</v>
      </c>
      <c r="I5" s="86">
        <f>IF(Samstag!$S79="","",Samstag!$S79)</f>
        <v>33</v>
      </c>
      <c r="J5" s="84">
        <f>IF(Samstag!$Q91="","",Samstag!$Q91)</f>
        <v>38</v>
      </c>
      <c r="K5" s="85" t="s">
        <v>23</v>
      </c>
      <c r="L5" s="86">
        <f>IF(Samstag!$S91="","",Samstag!$S91)</f>
        <v>34</v>
      </c>
      <c r="M5" s="84">
        <f>IF(Samstag!$Q103="","",Samstag!$Q103)</f>
        <v>35</v>
      </c>
      <c r="N5" s="85" t="s">
        <v>23</v>
      </c>
      <c r="O5" s="86">
        <f>IF(Samstag!$S103="","",Samstag!$S103)</f>
        <v>37</v>
      </c>
      <c r="P5" s="84">
        <f>IF(Samstag!$Q115="","",Samstag!$Q115)</f>
        <v>31</v>
      </c>
      <c r="Q5" s="85" t="s">
        <v>23</v>
      </c>
      <c r="R5" s="86">
        <f>IF(Samstag!$S115="","",Samstag!$S115)</f>
        <v>46</v>
      </c>
      <c r="S5" s="84">
        <f>IF(X6="","",SUM(D5,G5,J5,M5,P5))</f>
        <v>140</v>
      </c>
      <c r="T5" s="85" t="s">
        <v>23</v>
      </c>
      <c r="U5" s="86">
        <f>IF(X6="","",SUM(F5,I5,L5,O5,R5))</f>
        <v>150</v>
      </c>
      <c r="V5" s="87">
        <f>IF(X5="","",RANK(W6,($W$6,$W$8,$W$10,$W$12,$W$14),0))</f>
        <v>4</v>
      </c>
      <c r="X5" s="34" t="s">
        <v>165</v>
      </c>
      <c r="AA5" s="28">
        <v>1</v>
      </c>
      <c r="AB5" s="160" t="str">
        <f>IF(V5="","",IF($V$5=1,$C$5,IF($V$7=1,$C$7,IF($V$9=1,$C$9,IF($V$11=1,$C$11,IF($V$13=1,$C$13,0))))))</f>
        <v>Vegesacker TV</v>
      </c>
    </row>
    <row r="6" spans="2:28" ht="10.5" customHeight="1">
      <c r="B6" s="88"/>
      <c r="C6" s="89"/>
      <c r="D6" s="90"/>
      <c r="E6" s="91"/>
      <c r="F6" s="92"/>
      <c r="G6" s="93">
        <f>IF(G5="","",IF(G5&gt;I5,2,IF(G5&lt;I5,0,1)))</f>
        <v>2</v>
      </c>
      <c r="H6" s="51" t="s">
        <v>24</v>
      </c>
      <c r="I6" s="94">
        <f>IF(I5="","",IF(I5&gt;G5,2,IF(I5&lt;G5,0,1)))</f>
        <v>0</v>
      </c>
      <c r="J6" s="93">
        <f>IF(J5="","",IF(J5&gt;L5,2,IF(J5&lt;L5,0,1)))</f>
        <v>2</v>
      </c>
      <c r="K6" s="51" t="s">
        <v>24</v>
      </c>
      <c r="L6" s="94">
        <f>IF(L5="","",IF(L5&gt;J5,2,IF(L5&lt;J5,0,1)))</f>
        <v>0</v>
      </c>
      <c r="M6" s="93">
        <f>IF(M5="","",IF(M5&gt;O5,2,IF(M5&lt;O5,0,1)))</f>
        <v>0</v>
      </c>
      <c r="N6" s="51" t="s">
        <v>24</v>
      </c>
      <c r="O6" s="94">
        <f>IF(O5="","",IF(O5&gt;M5,2,IF(O5&lt;M5,0,1)))</f>
        <v>2</v>
      </c>
      <c r="P6" s="93">
        <f>IF(P5="","",IF(P5&gt;R5,2,IF(P5&lt;R5,0,1)))</f>
        <v>0</v>
      </c>
      <c r="Q6" s="51" t="s">
        <v>24</v>
      </c>
      <c r="R6" s="94">
        <f>IF(R5="","",IF(R5&gt;P5,2,IF(R5&lt;P5,0,1)))</f>
        <v>2</v>
      </c>
      <c r="S6" s="93">
        <f>IF(X6="","",SUM(D6,G6,J6,M6,P6))</f>
        <v>4</v>
      </c>
      <c r="T6" s="51" t="s">
        <v>24</v>
      </c>
      <c r="U6" s="94">
        <f>IF(X6="","",SUM(F6,I6,L6,O6,R6))</f>
        <v>4</v>
      </c>
      <c r="V6" s="95"/>
      <c r="W6" s="96">
        <f>+(S6-U6)+S5/U5+S6</f>
        <v>4.933333333333334</v>
      </c>
      <c r="X6" s="34" t="s">
        <v>165</v>
      </c>
      <c r="AB6" s="160"/>
    </row>
    <row r="7" spans="2:28" ht="15" customHeight="1">
      <c r="B7" s="79" t="str">
        <f>IF(Daten!B15="","",Daten!B15)</f>
        <v>W4</v>
      </c>
      <c r="C7" s="80" t="str">
        <f>IF(Daten!C15="","",Daten!C15)</f>
        <v>TV Zeilhard</v>
      </c>
      <c r="D7" s="84">
        <f>IF(I5="","",I5)</f>
        <v>33</v>
      </c>
      <c r="E7" s="85" t="s">
        <v>23</v>
      </c>
      <c r="F7" s="86">
        <f>IF(G5="","",G5)</f>
        <v>36</v>
      </c>
      <c r="G7" s="81"/>
      <c r="H7" s="82"/>
      <c r="I7" s="83"/>
      <c r="J7" s="84">
        <f>IF(Samstag!$Q99="","",Samstag!$Q99)</f>
        <v>45</v>
      </c>
      <c r="K7" s="85" t="s">
        <v>23</v>
      </c>
      <c r="L7" s="86">
        <f>IF(Samstag!$S99="","",Samstag!$S99)</f>
        <v>27</v>
      </c>
      <c r="M7" s="84">
        <f>IF(Samstag!$Q111="","",Samstag!$Q111)</f>
        <v>35</v>
      </c>
      <c r="N7" s="85" t="s">
        <v>23</v>
      </c>
      <c r="O7" s="86">
        <f>IF(Samstag!$S111="","",Samstag!$S111)</f>
        <v>32</v>
      </c>
      <c r="P7" s="84">
        <f>IF(Samstag!$Q87="","",Samstag!$Q87)</f>
        <v>31</v>
      </c>
      <c r="Q7" s="85" t="s">
        <v>23</v>
      </c>
      <c r="R7" s="86">
        <f>IF(Samstag!$S87="","",Samstag!$S87)</f>
        <v>42</v>
      </c>
      <c r="S7" s="84">
        <f>IF(X8="","",SUM(D7,G7,J7,M7,P7))</f>
        <v>144</v>
      </c>
      <c r="T7" s="85" t="s">
        <v>23</v>
      </c>
      <c r="U7" s="86">
        <f>IF(X8="","",SUM(F7,I7,L7,O7,R7))</f>
        <v>137</v>
      </c>
      <c r="V7" s="87">
        <f>IF(X7="","",RANK(W8,($W$6,$W$8,$W$10,$W$12,$W$14),0))</f>
        <v>2</v>
      </c>
      <c r="X7" s="34" t="s">
        <v>165</v>
      </c>
      <c r="AA7" s="28">
        <v>2</v>
      </c>
      <c r="AB7" s="160" t="str">
        <f>IF(V7="","",IF($V$5=2,$C$5,IF($V$7=2,$C$7,IF($V$9=2,$C$9,IF($V$11=2,$C$11,IF($V$13=2,$C$13,0))))))</f>
        <v>TV Zeilhard</v>
      </c>
    </row>
    <row r="8" spans="2:28" ht="10.5" customHeight="1">
      <c r="B8" s="88"/>
      <c r="C8" s="89"/>
      <c r="D8" s="93">
        <f>IF(D7="","",IF(D7&gt;F7,2,IF(D7&lt;F7,0,1)))</f>
        <v>0</v>
      </c>
      <c r="E8" s="51" t="s">
        <v>24</v>
      </c>
      <c r="F8" s="94">
        <f>IF(F7="","",IF(F7&gt;D7,2,IF(F7&lt;D7,0,1)))</f>
        <v>2</v>
      </c>
      <c r="G8" s="90"/>
      <c r="H8" s="91"/>
      <c r="I8" s="92"/>
      <c r="J8" s="93">
        <f>IF(J7="","",IF(J7&gt;L7,2,IF(J7&lt;L7,0,1)))</f>
        <v>2</v>
      </c>
      <c r="K8" s="51" t="s">
        <v>24</v>
      </c>
      <c r="L8" s="94">
        <f>IF(L7="","",IF(L7&gt;J7,2,IF(L7&lt;J7,0,1)))</f>
        <v>0</v>
      </c>
      <c r="M8" s="93">
        <f>IF(M7="","",IF(M7&gt;O7,2,IF(M7&lt;O7,0,1)))</f>
        <v>2</v>
      </c>
      <c r="N8" s="51" t="s">
        <v>24</v>
      </c>
      <c r="O8" s="94">
        <f>IF(O7="","",IF(O7&gt;M7,2,IF(O7&lt;M7,0,1)))</f>
        <v>0</v>
      </c>
      <c r="P8" s="93">
        <f>IF(P7="","",IF(P7&gt;R7,2,IF(P7&lt;R7,0,1)))</f>
        <v>0</v>
      </c>
      <c r="Q8" s="51" t="s">
        <v>24</v>
      </c>
      <c r="R8" s="94">
        <f>IF(R7="","",IF(R7&gt;P7,2,IF(R7&lt;P7,0,1)))</f>
        <v>2</v>
      </c>
      <c r="S8" s="93">
        <f>IF(X8="","",SUM(D8,G8,J8,M8,P8))</f>
        <v>4</v>
      </c>
      <c r="T8" s="51" t="s">
        <v>24</v>
      </c>
      <c r="U8" s="94">
        <f>IF(X8="","",SUM(F8,I8,L8,O8,R8))</f>
        <v>4</v>
      </c>
      <c r="V8" s="95"/>
      <c r="W8" s="96">
        <f>+(S8-U8)+S7/U7+S8</f>
        <v>5.051094890510949</v>
      </c>
      <c r="X8" s="34" t="s">
        <v>165</v>
      </c>
      <c r="AB8" s="160"/>
    </row>
    <row r="9" spans="2:28" ht="15" customHeight="1">
      <c r="B9" s="79" t="str">
        <f>IF(Daten!B16="","",Daten!B16)</f>
        <v>S3</v>
      </c>
      <c r="C9" s="80" t="str">
        <f>IF(Daten!C16="","",Daten!C16)</f>
        <v>TSV Babenhausen</v>
      </c>
      <c r="D9" s="84">
        <f>IF(L5="","",L5)</f>
        <v>34</v>
      </c>
      <c r="E9" s="85" t="s">
        <v>23</v>
      </c>
      <c r="F9" s="86">
        <f>IF(J5="","",J5)</f>
        <v>38</v>
      </c>
      <c r="G9" s="84">
        <f>IF(L7="","",L7)</f>
        <v>27</v>
      </c>
      <c r="H9" s="85" t="s">
        <v>23</v>
      </c>
      <c r="I9" s="86">
        <f>IF(J7="","",J7)</f>
        <v>45</v>
      </c>
      <c r="J9" s="81"/>
      <c r="K9" s="82"/>
      <c r="L9" s="83"/>
      <c r="M9" s="84">
        <f>IF(Samstag!$Q83="","",Samstag!$Q83)</f>
        <v>38</v>
      </c>
      <c r="N9" s="85" t="s">
        <v>23</v>
      </c>
      <c r="O9" s="86">
        <f>IF(Samstag!$S83="","",Samstag!$S83)</f>
        <v>40</v>
      </c>
      <c r="P9" s="84">
        <f>IF(Samstag!$Q107="","",Samstag!$Q107)</f>
        <v>36</v>
      </c>
      <c r="Q9" s="85" t="s">
        <v>23</v>
      </c>
      <c r="R9" s="86">
        <f>IF(Samstag!$S107="","",Samstag!$S107)</f>
        <v>43</v>
      </c>
      <c r="S9" s="84">
        <f>IF(X10="","",SUM(D9,G9,J9,M9,P9))</f>
        <v>135</v>
      </c>
      <c r="T9" s="85" t="s">
        <v>23</v>
      </c>
      <c r="U9" s="86">
        <f>IF(X10="","",SUM(F9,I9,L9,O9,R9))</f>
        <v>166</v>
      </c>
      <c r="V9" s="87">
        <f>IF(X9="","",RANK(W10,($W$6,$W$8,$W$10,$W$12,$W$14),0))</f>
        <v>5</v>
      </c>
      <c r="X9" s="34" t="s">
        <v>165</v>
      </c>
      <c r="AA9" s="28">
        <v>3</v>
      </c>
      <c r="AB9" s="160" t="str">
        <f>IF(V9="","",IF($V$5=3,$C$5,IF($V$7=3,$C$7,IF($V$9=3,$C$9,IF($V$11=3,$C$11,IF($V$13=3,$C$13,0))))))</f>
        <v>TV Freiburg St. Georgen</v>
      </c>
    </row>
    <row r="10" spans="2:28" ht="10.5" customHeight="1">
      <c r="B10" s="98"/>
      <c r="C10" s="89"/>
      <c r="D10" s="93">
        <f>IF(D9="","",IF(D9&gt;F9,2,IF(D9&lt;F9,0,1)))</f>
        <v>0</v>
      </c>
      <c r="E10" s="51" t="s">
        <v>24</v>
      </c>
      <c r="F10" s="94">
        <f>IF(F9="","",IF(F9&gt;D9,2,IF(F9&lt;D9,0,1)))</f>
        <v>2</v>
      </c>
      <c r="G10" s="93">
        <f>IF(G9="","",IF(G9&gt;I9,2,IF(G9&lt;I9,0,1)))</f>
        <v>0</v>
      </c>
      <c r="H10" s="51" t="s">
        <v>24</v>
      </c>
      <c r="I10" s="94">
        <f>IF(I9="","",IF(I9&gt;G9,2,IF(I9&lt;G9,0,1)))</f>
        <v>2</v>
      </c>
      <c r="J10" s="90"/>
      <c r="K10" s="91"/>
      <c r="L10" s="92"/>
      <c r="M10" s="93">
        <f>IF(M9="","",IF(M9&gt;O9,2,IF(M9&lt;O9,0,1)))</f>
        <v>0</v>
      </c>
      <c r="N10" s="51" t="s">
        <v>24</v>
      </c>
      <c r="O10" s="94">
        <f>IF(O9="","",IF(O9&gt;M9,2,IF(O9&lt;M9,0,1)))</f>
        <v>2</v>
      </c>
      <c r="P10" s="93">
        <f>IF(P9="","",IF(P9&gt;R9,2,IF(P9&lt;R9,0,1)))</f>
        <v>0</v>
      </c>
      <c r="Q10" s="51" t="s">
        <v>24</v>
      </c>
      <c r="R10" s="94">
        <f>IF(R9="","",IF(R9&gt;P9,2,IF(R9&lt;P9,0,1)))</f>
        <v>2</v>
      </c>
      <c r="S10" s="93">
        <f>IF(X10="","",SUM(D10,G10,J10,M10,P10))</f>
        <v>0</v>
      </c>
      <c r="T10" s="51" t="s">
        <v>24</v>
      </c>
      <c r="U10" s="94">
        <f>IF(X10="","",SUM(F10,I10,L10,O10,R10))</f>
        <v>8</v>
      </c>
      <c r="V10" s="95"/>
      <c r="W10" s="96">
        <f>+(S10-U10)+S9/U9+S10</f>
        <v>-7.186746987951807</v>
      </c>
      <c r="X10" s="34" t="s">
        <v>165</v>
      </c>
      <c r="AB10" s="160"/>
    </row>
    <row r="11" spans="2:28" ht="15" customHeight="1">
      <c r="B11" s="79" t="str">
        <f>IF(Daten!B17="","",Daten!B17)</f>
        <v>S1</v>
      </c>
      <c r="C11" s="80" t="str">
        <f>IF(Daten!C17="","",Daten!C17)</f>
        <v>TV Freiburg St. Georgen</v>
      </c>
      <c r="D11" s="84">
        <f>IF(O5="","",O5)</f>
        <v>37</v>
      </c>
      <c r="E11" s="85" t="s">
        <v>23</v>
      </c>
      <c r="F11" s="86">
        <f>IF(M5="","",M5)</f>
        <v>35</v>
      </c>
      <c r="G11" s="84">
        <f>IF(O7="","",O7)</f>
        <v>32</v>
      </c>
      <c r="H11" s="85" t="s">
        <v>23</v>
      </c>
      <c r="I11" s="86">
        <f>IF(M7="","",M7)</f>
        <v>35</v>
      </c>
      <c r="J11" s="84">
        <f>IF(O9="","",O9)</f>
        <v>40</v>
      </c>
      <c r="K11" s="85" t="s">
        <v>23</v>
      </c>
      <c r="L11" s="86">
        <f>IF(M9="","",M9)</f>
        <v>38</v>
      </c>
      <c r="M11" s="81"/>
      <c r="N11" s="82"/>
      <c r="O11" s="83"/>
      <c r="P11" s="84">
        <f>IF(Samstag!$Q95="","",Samstag!$Q95)</f>
        <v>31</v>
      </c>
      <c r="Q11" s="85" t="s">
        <v>23</v>
      </c>
      <c r="R11" s="86">
        <f>IF(Samstag!$S95="","",Samstag!$S95)</f>
        <v>39</v>
      </c>
      <c r="S11" s="84">
        <f>IF(X12="","",SUM(D11,G11,J11,M11,P11))</f>
        <v>140</v>
      </c>
      <c r="T11" s="85" t="s">
        <v>23</v>
      </c>
      <c r="U11" s="86">
        <f>IF(X12="","",SUM(F11,I11,L11,O11,R11))</f>
        <v>147</v>
      </c>
      <c r="V11" s="87">
        <f>IF(X11="","",RANK(W12,($W$6,$W$8,$W$10,$W$12,$W$14),0))</f>
        <v>3</v>
      </c>
      <c r="X11" s="34" t="s">
        <v>165</v>
      </c>
      <c r="AA11" s="28">
        <v>4</v>
      </c>
      <c r="AB11" s="160" t="str">
        <f>IF(V11="","",IF($V$5=4,$C$5,IF($V$7=4,$C$7,IF($V$9=4,$C$9,IF($V$11=4,$C$11,IF($V$13=4,$C$13,0))))))</f>
        <v>TV Hochneukirch</v>
      </c>
    </row>
    <row r="12" spans="2:28" ht="10.5" customHeight="1">
      <c r="B12" s="98"/>
      <c r="C12" s="89"/>
      <c r="D12" s="93">
        <f>IF(D11="","",IF(D11&gt;F11,2,IF(D11&lt;F11,0,1)))</f>
        <v>2</v>
      </c>
      <c r="E12" s="51" t="s">
        <v>24</v>
      </c>
      <c r="F12" s="94">
        <f>IF(F11="","",IF(F11&gt;D11,2,IF(F11&lt;D11,0,1)))</f>
        <v>0</v>
      </c>
      <c r="G12" s="93">
        <f>IF(G11="","",IF(G11&gt;I11,2,IF(G11&lt;I11,0,1)))</f>
        <v>0</v>
      </c>
      <c r="H12" s="51" t="s">
        <v>24</v>
      </c>
      <c r="I12" s="94">
        <f>IF(I11="","",IF(I11&gt;G11,2,IF(I11&lt;G11,0,1)))</f>
        <v>2</v>
      </c>
      <c r="J12" s="93">
        <f>IF(J11="","",IF(J11&gt;L11,2,IF(J11&lt;L11,0,1)))</f>
        <v>2</v>
      </c>
      <c r="K12" s="51" t="s">
        <v>24</v>
      </c>
      <c r="L12" s="94">
        <f>IF(L11="","",IF(L11&gt;J11,2,IF(L11&lt;J11,0,1)))</f>
        <v>0</v>
      </c>
      <c r="M12" s="90"/>
      <c r="N12" s="91"/>
      <c r="O12" s="92"/>
      <c r="P12" s="93">
        <f>IF(P11="","",IF(P11&gt;R11,2,IF(P11&lt;R11,0,1)))</f>
        <v>0</v>
      </c>
      <c r="Q12" s="51" t="s">
        <v>24</v>
      </c>
      <c r="R12" s="94">
        <f>IF(R11="","",IF(R11&gt;P11,2,IF(R11&lt;P11,0,1)))</f>
        <v>2</v>
      </c>
      <c r="S12" s="93">
        <f>IF(X12="","",SUM(D12,G12,J12,M12,P12))</f>
        <v>4</v>
      </c>
      <c r="T12" s="51" t="s">
        <v>24</v>
      </c>
      <c r="U12" s="94">
        <f>IF(X12="","",SUM(F12,I12,L12,O12,R12))</f>
        <v>4</v>
      </c>
      <c r="V12" s="95"/>
      <c r="W12" s="96">
        <f>+(S12-U12)+S11/U11+S12</f>
        <v>4.9523809523809526</v>
      </c>
      <c r="X12" s="34" t="s">
        <v>165</v>
      </c>
      <c r="AB12" s="160"/>
    </row>
    <row r="13" spans="2:28" ht="15" customHeight="1">
      <c r="B13" s="79" t="str">
        <f>IF(Daten!B18="","",Daten!B18)</f>
        <v>N1</v>
      </c>
      <c r="C13" s="80" t="str">
        <f>IF(Daten!C18="","",Daten!C18)</f>
        <v>Vegesacker TV</v>
      </c>
      <c r="D13" s="84">
        <f>IF(R5="","",R5)</f>
        <v>46</v>
      </c>
      <c r="E13" s="85" t="s">
        <v>23</v>
      </c>
      <c r="F13" s="86">
        <f>IF(P5="","",P5)</f>
        <v>31</v>
      </c>
      <c r="G13" s="84">
        <f>IF(R7="","",R7)</f>
        <v>42</v>
      </c>
      <c r="H13" s="85" t="s">
        <v>23</v>
      </c>
      <c r="I13" s="86">
        <f>IF(P7="","",P7)</f>
        <v>31</v>
      </c>
      <c r="J13" s="84">
        <f>IF(R9="","",R9)</f>
        <v>43</v>
      </c>
      <c r="K13" s="85" t="s">
        <v>23</v>
      </c>
      <c r="L13" s="86">
        <f>IF(P9="","",P9)</f>
        <v>36</v>
      </c>
      <c r="M13" s="84">
        <f>IF(R11="","",R11)</f>
        <v>39</v>
      </c>
      <c r="N13" s="85" t="s">
        <v>23</v>
      </c>
      <c r="O13" s="86">
        <f>IF(P11="","",P11)</f>
        <v>31</v>
      </c>
      <c r="P13" s="81"/>
      <c r="Q13" s="82"/>
      <c r="R13" s="83"/>
      <c r="S13" s="84">
        <f>IF(X14="","",SUM(D13,G13,J13,M13,P13))</f>
        <v>170</v>
      </c>
      <c r="T13" s="85" t="s">
        <v>23</v>
      </c>
      <c r="U13" s="86">
        <f>IF(X14="","",SUM(F13,I13,L13,O13,R13))</f>
        <v>129</v>
      </c>
      <c r="V13" s="87">
        <f>IF(X13="","",RANK(W14,($W$6,$W$8,$W$10,$W$12,$W$14),0))</f>
        <v>1</v>
      </c>
      <c r="X13" s="34" t="s">
        <v>165</v>
      </c>
      <c r="AA13" s="28">
        <v>5</v>
      </c>
      <c r="AB13" s="160" t="str">
        <f>IF(V13="","",IF($V$5=5,$C$5,IF($V$7=5,$C$7,IF($V$9=5,$C$9,IF($V$11=5,$C$11,IF($V$13=5,$C$13,0))))))</f>
        <v>TSV Babenhausen</v>
      </c>
    </row>
    <row r="14" spans="2:24" ht="10.5" customHeight="1">
      <c r="B14" s="98"/>
      <c r="C14" s="99"/>
      <c r="D14" s="93">
        <f>IF(D13="","",IF(D13&gt;F13,2,IF(D13&lt;F13,0,1)))</f>
        <v>2</v>
      </c>
      <c r="E14" s="51" t="s">
        <v>24</v>
      </c>
      <c r="F14" s="94">
        <f>IF(F13="","",IF(F13&gt;D13,2,IF(F13&lt;D13,0,1)))</f>
        <v>0</v>
      </c>
      <c r="G14" s="93">
        <f>IF(G13="","",IF(G13&gt;I13,2,IF(G13&lt;I13,0,1)))</f>
        <v>2</v>
      </c>
      <c r="H14" s="51" t="s">
        <v>24</v>
      </c>
      <c r="I14" s="94">
        <f>IF(I13="","",IF(I13&gt;G13,2,IF(I13&lt;G13,0,1)))</f>
        <v>0</v>
      </c>
      <c r="J14" s="93">
        <f>IF(J13="","",IF(J13&gt;L13,2,IF(J13&lt;L13,0,1)))</f>
        <v>2</v>
      </c>
      <c r="K14" s="51" t="s">
        <v>24</v>
      </c>
      <c r="L14" s="94">
        <f>IF(L13="","",IF(L13&gt;J13,2,IF(L13&lt;J13,0,1)))</f>
        <v>0</v>
      </c>
      <c r="M14" s="93">
        <f>IF(M13="","",IF(M13&gt;O13,2,IF(M13&lt;O13,0,1)))</f>
        <v>2</v>
      </c>
      <c r="N14" s="51" t="s">
        <v>24</v>
      </c>
      <c r="O14" s="94">
        <f>IF(O13="","",IF(O13&gt;M13,2,IF(O13&lt;M13,0,1)))</f>
        <v>0</v>
      </c>
      <c r="P14" s="90"/>
      <c r="Q14" s="91"/>
      <c r="R14" s="92"/>
      <c r="S14" s="93">
        <f>IF(X14="","",SUM(D14,G14,J14,M14,P14))</f>
        <v>8</v>
      </c>
      <c r="T14" s="51" t="s">
        <v>24</v>
      </c>
      <c r="U14" s="94">
        <f>IF(X14="","",SUM(F14,I14,L14,O14,R14))</f>
        <v>0</v>
      </c>
      <c r="V14" s="95"/>
      <c r="W14" s="96">
        <f>+(S14-U14)+S13/U13+S14</f>
        <v>17.31782945736434</v>
      </c>
      <c r="X14" s="34" t="s">
        <v>165</v>
      </c>
    </row>
    <row r="15" spans="2:24" ht="9.75" customHeight="1">
      <c r="B15" s="100"/>
      <c r="C15" s="100"/>
      <c r="D15" s="101"/>
      <c r="E15" s="85"/>
      <c r="F15" s="102"/>
      <c r="G15" s="101"/>
      <c r="H15" s="85"/>
      <c r="I15" s="102"/>
      <c r="J15" s="101"/>
      <c r="K15" s="85"/>
      <c r="L15" s="102"/>
      <c r="M15" s="101"/>
      <c r="N15" s="85"/>
      <c r="O15" s="102"/>
      <c r="P15" s="103"/>
      <c r="Q15" s="103"/>
      <c r="R15" s="103"/>
      <c r="S15" s="101"/>
      <c r="T15" s="85"/>
      <c r="U15" s="102"/>
      <c r="V15" s="104"/>
      <c r="W15" s="96"/>
      <c r="X15" s="34"/>
    </row>
    <row r="16" spans="2:24" ht="9.75" customHeight="1" outlineLevel="1">
      <c r="B16" s="105" t="s">
        <v>25</v>
      </c>
      <c r="C16" s="106" t="str">
        <f>+C5</f>
        <v>TV Hochneukirch</v>
      </c>
      <c r="D16" s="107"/>
      <c r="E16" s="108">
        <v>1</v>
      </c>
      <c r="F16" s="109"/>
      <c r="G16" s="110"/>
      <c r="H16" s="111" t="s">
        <v>23</v>
      </c>
      <c r="I16" s="112"/>
      <c r="J16" s="110"/>
      <c r="K16" s="111" t="s">
        <v>23</v>
      </c>
      <c r="L16" s="112"/>
      <c r="M16" s="110">
        <v>17</v>
      </c>
      <c r="N16" s="111" t="s">
        <v>23</v>
      </c>
      <c r="O16" s="112">
        <v>19</v>
      </c>
      <c r="P16" s="113"/>
      <c r="Q16" s="111" t="s">
        <v>23</v>
      </c>
      <c r="R16" s="114"/>
      <c r="S16" s="55"/>
      <c r="T16" s="115"/>
      <c r="U16" s="116"/>
      <c r="V16" s="31"/>
      <c r="W16" s="96"/>
      <c r="X16" s="34"/>
    </row>
    <row r="17" spans="2:24" ht="9.75" customHeight="1" outlineLevel="1">
      <c r="B17" s="117"/>
      <c r="C17" s="163" t="str">
        <f>+C7</f>
        <v>TV Zeilhard</v>
      </c>
      <c r="D17" s="110">
        <f>IF(I16="","",I16)</f>
      </c>
      <c r="E17" s="111" t="s">
        <v>23</v>
      </c>
      <c r="F17" s="112">
        <f>IF(G16="","",G16)</f>
      </c>
      <c r="G17" s="107"/>
      <c r="H17" s="108" t="s">
        <v>166</v>
      </c>
      <c r="I17" s="109"/>
      <c r="J17" s="110"/>
      <c r="K17" s="111" t="s">
        <v>23</v>
      </c>
      <c r="L17" s="112"/>
      <c r="M17" s="110">
        <v>19</v>
      </c>
      <c r="N17" s="111" t="s">
        <v>23</v>
      </c>
      <c r="O17" s="112">
        <v>14</v>
      </c>
      <c r="P17" s="113"/>
      <c r="Q17" s="111" t="s">
        <v>23</v>
      </c>
      <c r="R17" s="114"/>
      <c r="S17" s="55"/>
      <c r="T17" s="115"/>
      <c r="U17" s="116"/>
      <c r="V17" s="31"/>
      <c r="W17" s="96"/>
      <c r="X17" s="34"/>
    </row>
    <row r="18" spans="2:24" ht="9.75" customHeight="1" outlineLevel="1">
      <c r="B18" s="117"/>
      <c r="C18" s="106" t="str">
        <f>+C9</f>
        <v>TSV Babenhausen</v>
      </c>
      <c r="D18" s="110">
        <f>IF(L16="","",L16)</f>
      </c>
      <c r="E18" s="111" t="s">
        <v>23</v>
      </c>
      <c r="F18" s="112">
        <f>IF(J16="","",J16)</f>
      </c>
      <c r="G18" s="110">
        <f>IF(L17="","",L17)</f>
      </c>
      <c r="H18" s="111" t="s">
        <v>23</v>
      </c>
      <c r="I18" s="112">
        <f>IF(J17="","",J17)</f>
      </c>
      <c r="J18" s="107"/>
      <c r="K18" s="108"/>
      <c r="L18" s="109"/>
      <c r="M18" s="110"/>
      <c r="N18" s="111" t="s">
        <v>23</v>
      </c>
      <c r="O18" s="112"/>
      <c r="P18" s="113"/>
      <c r="Q18" s="111" t="s">
        <v>23</v>
      </c>
      <c r="R18" s="114"/>
      <c r="S18" s="55"/>
      <c r="T18" s="115"/>
      <c r="U18" s="116"/>
      <c r="V18" s="31"/>
      <c r="W18" s="96"/>
      <c r="X18" s="34"/>
    </row>
    <row r="19" spans="2:24" ht="9.75" customHeight="1" outlineLevel="1">
      <c r="B19" s="117"/>
      <c r="C19" s="106" t="str">
        <f>+C11</f>
        <v>TV Freiburg St. Georgen</v>
      </c>
      <c r="D19" s="110">
        <f>IF(O16="","",O16)</f>
        <v>19</v>
      </c>
      <c r="E19" s="111" t="s">
        <v>23</v>
      </c>
      <c r="F19" s="112">
        <f>IF(M16="","",M16)</f>
        <v>17</v>
      </c>
      <c r="G19" s="110">
        <f>IF(O17="","",O17)</f>
        <v>14</v>
      </c>
      <c r="H19" s="111" t="s">
        <v>23</v>
      </c>
      <c r="I19" s="112">
        <f>IF(M17="","",M17)</f>
        <v>19</v>
      </c>
      <c r="J19" s="110">
        <f>IF(O18="","",O18)</f>
      </c>
      <c r="K19" s="111" t="s">
        <v>23</v>
      </c>
      <c r="L19" s="112">
        <f>IF(M18="","",M18)</f>
      </c>
      <c r="M19" s="107"/>
      <c r="N19" s="108">
        <v>2</v>
      </c>
      <c r="O19" s="109"/>
      <c r="P19" s="113"/>
      <c r="Q19" s="111" t="s">
        <v>23</v>
      </c>
      <c r="R19" s="114"/>
      <c r="S19" s="55"/>
      <c r="T19" s="115"/>
      <c r="U19" s="116"/>
      <c r="V19" s="31"/>
      <c r="W19" s="96"/>
      <c r="X19" s="34"/>
    </row>
    <row r="20" spans="2:24" ht="9.75" customHeight="1" outlineLevel="1">
      <c r="B20" s="117"/>
      <c r="C20" s="106" t="str">
        <f>+C13</f>
        <v>Vegesacker TV</v>
      </c>
      <c r="D20" s="110">
        <f>IF(R16="","",R16)</f>
      </c>
      <c r="E20" s="111" t="s">
        <v>23</v>
      </c>
      <c r="F20" s="112">
        <f>IF(P16="","",P16)</f>
      </c>
      <c r="G20" s="110">
        <f>IF(R17="","",R17)</f>
      </c>
      <c r="H20" s="111" t="s">
        <v>23</v>
      </c>
      <c r="I20" s="112">
        <f>IF(P17="","",P17)</f>
      </c>
      <c r="J20" s="110">
        <f>IF(R18="","",R18)</f>
      </c>
      <c r="K20" s="111" t="s">
        <v>23</v>
      </c>
      <c r="L20" s="112">
        <f>IF(P18="","",P18)</f>
      </c>
      <c r="M20" s="110">
        <f>IF(R19="","",R19)</f>
      </c>
      <c r="N20" s="111" t="s">
        <v>23</v>
      </c>
      <c r="O20" s="112">
        <f>IF(P19="","",P19)</f>
      </c>
      <c r="P20" s="107"/>
      <c r="Q20" s="108"/>
      <c r="R20" s="109"/>
      <c r="S20" s="55"/>
      <c r="T20" s="115"/>
      <c r="U20" s="116"/>
      <c r="V20" s="31"/>
      <c r="W20" s="96"/>
      <c r="X20" s="34"/>
    </row>
    <row r="22" spans="2:22" ht="12.75" customHeight="1">
      <c r="B22" s="118"/>
      <c r="C22" s="119" t="str">
        <f>+Daten!F13</f>
        <v>Gruppe F</v>
      </c>
      <c r="D22" s="183"/>
      <c r="E22" s="181" t="str">
        <f>+C23</f>
        <v>TV Berkenbaum </v>
      </c>
      <c r="F22" s="184"/>
      <c r="G22" s="183"/>
      <c r="H22" s="181" t="str">
        <f>+C25</f>
        <v>TV Hemer </v>
      </c>
      <c r="I22" s="184"/>
      <c r="J22" s="183"/>
      <c r="K22" s="181" t="str">
        <f>+C27</f>
        <v>MTV Markoldendorf</v>
      </c>
      <c r="L22" s="184"/>
      <c r="M22" s="183"/>
      <c r="N22" s="181" t="str">
        <f>+C29</f>
        <v>TSV Marienfelde</v>
      </c>
      <c r="O22" s="184"/>
      <c r="P22" s="183"/>
      <c r="Q22" s="181" t="str">
        <f>+C31</f>
        <v>VfL Waiblingen</v>
      </c>
      <c r="R22" s="184"/>
      <c r="S22" s="74"/>
      <c r="T22" s="76" t="s">
        <v>21</v>
      </c>
      <c r="U22" s="75"/>
      <c r="V22" s="77" t="s">
        <v>22</v>
      </c>
    </row>
    <row r="23" spans="2:28" ht="15" customHeight="1">
      <c r="B23" s="79" t="str">
        <f>IF(Daten!E14="","",Daten!E14)</f>
        <v>W3</v>
      </c>
      <c r="C23" s="80" t="str">
        <f>IF(Daten!F14="","",Daten!F14)</f>
        <v>TV Berkenbaum </v>
      </c>
      <c r="D23" s="81"/>
      <c r="E23" s="82"/>
      <c r="F23" s="83"/>
      <c r="G23" s="84">
        <f>IF(Samstag!$Q80="","",Samstag!$Q80)</f>
        <v>28</v>
      </c>
      <c r="H23" s="85" t="s">
        <v>23</v>
      </c>
      <c r="I23" s="86">
        <f>IF(Samstag!$S80="","",Samstag!$S80)</f>
        <v>39</v>
      </c>
      <c r="J23" s="84">
        <f>IF(Samstag!$Q100="","",Samstag!$Q100)</f>
        <v>33</v>
      </c>
      <c r="K23" s="85" t="s">
        <v>23</v>
      </c>
      <c r="L23" s="86">
        <f>IF(Samstag!$S100="","",Samstag!$S100)</f>
        <v>34</v>
      </c>
      <c r="M23" s="84">
        <f>IF(Samstag!$Q112="","",Samstag!$Q112)</f>
        <v>34</v>
      </c>
      <c r="N23" s="85" t="s">
        <v>23</v>
      </c>
      <c r="O23" s="86">
        <f>IF(Samstag!$S112="","",Samstag!$S112)</f>
        <v>39</v>
      </c>
      <c r="P23" s="84">
        <f>IF(Samstag!$Q88="","",Samstag!$Q88)</f>
        <v>38</v>
      </c>
      <c r="Q23" s="85" t="s">
        <v>23</v>
      </c>
      <c r="R23" s="86">
        <f>IF(Samstag!$S88="","",Samstag!$S88)</f>
        <v>39</v>
      </c>
      <c r="S23" s="84">
        <f>IF(X24="","",SUM(D23,G23,J23,M23,P23))</f>
        <v>133</v>
      </c>
      <c r="T23" s="85" t="s">
        <v>23</v>
      </c>
      <c r="U23" s="86">
        <f>IF(X24="","",SUM(F23,I23,L23,O23,R23))</f>
        <v>151</v>
      </c>
      <c r="V23" s="87">
        <f>IF(X23="","",RANK(W24,($W$24,$W$26,$W$28,$W$30,$W$32),0))</f>
        <v>5</v>
      </c>
      <c r="X23" s="34" t="s">
        <v>165</v>
      </c>
      <c r="AA23" s="28">
        <v>1</v>
      </c>
      <c r="AB23" s="28" t="str">
        <f>IF(V23="","",IF($V$23=1,$C$23,IF($V$25=1,$C$25,IF($V$27=1,$C$27,IF($V$29=1,$C$29,IF($V$31=1,$C$31,0))))))</f>
        <v>MTV Markoldendorf</v>
      </c>
    </row>
    <row r="24" spans="2:24" ht="10.5" customHeight="1">
      <c r="B24" s="120"/>
      <c r="C24" s="121"/>
      <c r="D24" s="90"/>
      <c r="E24" s="91"/>
      <c r="F24" s="92"/>
      <c r="G24" s="93">
        <f>IF(G23="","",IF(G23&gt;I23,2,IF(G23&lt;I23,0,1)))</f>
        <v>0</v>
      </c>
      <c r="H24" s="51" t="s">
        <v>24</v>
      </c>
      <c r="I24" s="94">
        <f>IF(I23="","",IF(I23&gt;G23,2,IF(I23&lt;G23,0,1)))</f>
        <v>2</v>
      </c>
      <c r="J24" s="93">
        <f>IF(J23="","",IF(J23&gt;L23,2,IF(J23&lt;L23,0,1)))</f>
        <v>0</v>
      </c>
      <c r="K24" s="51" t="s">
        <v>24</v>
      </c>
      <c r="L24" s="94">
        <f>IF(L23="","",IF(L23&gt;J23,2,IF(L23&lt;J23,0,1)))</f>
        <v>2</v>
      </c>
      <c r="M24" s="93">
        <f>IF(M23="","",IF(M23&gt;O23,2,IF(M23&lt;O23,0,1)))</f>
        <v>0</v>
      </c>
      <c r="N24" s="51" t="s">
        <v>24</v>
      </c>
      <c r="O24" s="94">
        <f>IF(O23="","",IF(O23&gt;M23,2,IF(O23&lt;M23,0,1)))</f>
        <v>2</v>
      </c>
      <c r="P24" s="93">
        <f>IF(P23="","",IF(P23&gt;R23,2,IF(P23&lt;R23,0,1)))</f>
        <v>0</v>
      </c>
      <c r="Q24" s="51" t="s">
        <v>24</v>
      </c>
      <c r="R24" s="94">
        <f>IF(R23="","",IF(R23&gt;P23,2,IF(R23&lt;P23,0,1)))</f>
        <v>2</v>
      </c>
      <c r="S24" s="93">
        <f>IF(X24="","",SUM(D24,G24,J24,M24,P24))</f>
        <v>0</v>
      </c>
      <c r="T24" s="51" t="s">
        <v>24</v>
      </c>
      <c r="U24" s="94">
        <f>IF(X24="","",SUM(F24,I24,L24,O24,R24))</f>
        <v>8</v>
      </c>
      <c r="V24" s="95"/>
      <c r="W24" s="96">
        <f>+(S24-U24)+S23/U23+S24</f>
        <v>-7.119205298013245</v>
      </c>
      <c r="X24" s="34" t="s">
        <v>165</v>
      </c>
    </row>
    <row r="25" spans="2:28" ht="15" customHeight="1">
      <c r="B25" s="79" t="str">
        <f>IF(Daten!E15="","",Daten!E15)</f>
        <v>W1</v>
      </c>
      <c r="C25" s="80" t="str">
        <f>IF(Daten!F15="","",Daten!F15)</f>
        <v>TV Hemer </v>
      </c>
      <c r="D25" s="84">
        <f>IF(I23="","",I23)</f>
        <v>39</v>
      </c>
      <c r="E25" s="85" t="s">
        <v>23</v>
      </c>
      <c r="F25" s="86">
        <f>IF(G23="","",G23)</f>
        <v>28</v>
      </c>
      <c r="G25" s="81"/>
      <c r="H25" s="82"/>
      <c r="I25" s="83"/>
      <c r="J25" s="84">
        <f>IF(Samstag!$Q92="","",Samstag!$Q92)</f>
        <v>33</v>
      </c>
      <c r="K25" s="85" t="s">
        <v>23</v>
      </c>
      <c r="L25" s="86">
        <f>IF(Samstag!$S92="","",Samstag!$S92)</f>
        <v>37</v>
      </c>
      <c r="M25" s="84">
        <f>IF(Samstag!$Q104="","",Samstag!$Q104)</f>
        <v>38</v>
      </c>
      <c r="N25" s="85" t="s">
        <v>23</v>
      </c>
      <c r="O25" s="86">
        <f>IF(Samstag!$S104="","",Samstag!$S104)</f>
        <v>33</v>
      </c>
      <c r="P25" s="84">
        <f>IF(Samstag!$Q116="","",Samstag!$Q116)</f>
        <v>38</v>
      </c>
      <c r="Q25" s="85" t="s">
        <v>23</v>
      </c>
      <c r="R25" s="86">
        <f>IF(Samstag!$S116="","",Samstag!$S116)</f>
        <v>30</v>
      </c>
      <c r="S25" s="84">
        <f>IF(X26="","",SUM(D25,G25,J25,M25,P25))</f>
        <v>148</v>
      </c>
      <c r="T25" s="85" t="s">
        <v>23</v>
      </c>
      <c r="U25" s="86">
        <f>IF(X26="","",SUM(F25,I25,L25,O25,R25))</f>
        <v>128</v>
      </c>
      <c r="V25" s="97">
        <f>IF(X25="","",RANK(W26,($W$24,$W$26,$W$28,$W$30,$W$32),0))</f>
        <v>2</v>
      </c>
      <c r="X25" s="34" t="s">
        <v>165</v>
      </c>
      <c r="AA25" s="28">
        <v>2</v>
      </c>
      <c r="AB25" s="28" t="str">
        <f>IF(V25="","",IF($V$23=2,$C$23,IF($V$25=2,$C$25,IF($V$27=2,$C$27,IF($V$29=2,$C$29,IF($V$31=2,$C$31,0))))))</f>
        <v>TV Hemer </v>
      </c>
    </row>
    <row r="26" spans="2:24" ht="10.5" customHeight="1">
      <c r="B26" s="120"/>
      <c r="C26" s="121"/>
      <c r="D26" s="93">
        <f>IF(D25="","",IF(D25&gt;F25,2,IF(D25&lt;F25,0,1)))</f>
        <v>2</v>
      </c>
      <c r="E26" s="51" t="s">
        <v>24</v>
      </c>
      <c r="F26" s="94">
        <f>IF(F25="","",IF(F25&gt;D25,2,IF(F25&lt;D25,0,1)))</f>
        <v>0</v>
      </c>
      <c r="G26" s="90"/>
      <c r="H26" s="91"/>
      <c r="I26" s="92"/>
      <c r="J26" s="93">
        <f>IF(J25="","",IF(J25&gt;L25,2,IF(J25&lt;L25,0,1)))</f>
        <v>0</v>
      </c>
      <c r="K26" s="51" t="s">
        <v>24</v>
      </c>
      <c r="L26" s="94">
        <f>IF(L25="","",IF(L25&gt;J25,2,IF(L25&lt;J25,0,1)))</f>
        <v>2</v>
      </c>
      <c r="M26" s="93">
        <f>IF(M25="","",IF(M25&gt;O25,2,IF(M25&lt;O25,0,1)))</f>
        <v>2</v>
      </c>
      <c r="N26" s="51" t="s">
        <v>24</v>
      </c>
      <c r="O26" s="94">
        <f>IF(O25="","",IF(O25&gt;M25,2,IF(O25&lt;M25,0,1)))</f>
        <v>0</v>
      </c>
      <c r="P26" s="93">
        <f>IF(P25="","",IF(P25&gt;R25,2,IF(P25&lt;R25,0,1)))</f>
        <v>2</v>
      </c>
      <c r="Q26" s="51" t="s">
        <v>24</v>
      </c>
      <c r="R26" s="94">
        <f>IF(R25="","",IF(R25&gt;P25,2,IF(R25&lt;P25,0,1)))</f>
        <v>0</v>
      </c>
      <c r="S26" s="93">
        <f>IF(X26="","",SUM(D26,G26,J26,M26,P26))</f>
        <v>6</v>
      </c>
      <c r="T26" s="51" t="s">
        <v>24</v>
      </c>
      <c r="U26" s="94">
        <f>IF(X26="","",SUM(F26,I26,L26,O26,R26))</f>
        <v>2</v>
      </c>
      <c r="V26" s="95"/>
      <c r="W26" s="96">
        <f>+(S26-U26)+S25/U25+S26</f>
        <v>11.15625</v>
      </c>
      <c r="X26" s="34" t="s">
        <v>165</v>
      </c>
    </row>
    <row r="27" spans="2:28" ht="15" customHeight="1">
      <c r="B27" s="79" t="str">
        <f>IF(Daten!E16="","",Daten!E16)</f>
        <v>N3</v>
      </c>
      <c r="C27" s="80" t="str">
        <f>IF(Daten!F16="","",Daten!F16)</f>
        <v>MTV Markoldendorf</v>
      </c>
      <c r="D27" s="84">
        <f>IF(L23="","",L23)</f>
        <v>34</v>
      </c>
      <c r="E27" s="85" t="s">
        <v>23</v>
      </c>
      <c r="F27" s="86">
        <f>IF(J23="","",J23)</f>
        <v>33</v>
      </c>
      <c r="G27" s="84">
        <f>IF(L25="","",L25)</f>
        <v>37</v>
      </c>
      <c r="H27" s="85" t="s">
        <v>23</v>
      </c>
      <c r="I27" s="86">
        <f>IF(J25="","",J25)</f>
        <v>33</v>
      </c>
      <c r="J27" s="81"/>
      <c r="K27" s="82"/>
      <c r="L27" s="83"/>
      <c r="M27" s="84">
        <f>IF(Samstag!$Q84="","",Samstag!$Q84)</f>
        <v>37</v>
      </c>
      <c r="N27" s="85" t="s">
        <v>23</v>
      </c>
      <c r="O27" s="86">
        <f>IF(Samstag!$S84="","",Samstag!$S84)</f>
        <v>36</v>
      </c>
      <c r="P27" s="84">
        <f>IF(Samstag!$Q108="","",Samstag!$Q108)</f>
        <v>42</v>
      </c>
      <c r="Q27" s="85" t="s">
        <v>23</v>
      </c>
      <c r="R27" s="86">
        <f>IF(Samstag!$S108="","",Samstag!$S108)</f>
        <v>33</v>
      </c>
      <c r="S27" s="84">
        <f>IF(X28="","",SUM(D27,G27,J27,M27,P27))</f>
        <v>150</v>
      </c>
      <c r="T27" s="85" t="s">
        <v>23</v>
      </c>
      <c r="U27" s="86">
        <f>IF(X28="","",SUM(F27,I27,L27,O27,R27))</f>
        <v>135</v>
      </c>
      <c r="V27" s="97">
        <f>IF(X27="","",RANK(W28,($W$24,$W$26,$W$28,$W$30,$W$32),0))</f>
        <v>1</v>
      </c>
      <c r="X27" s="34" t="s">
        <v>165</v>
      </c>
      <c r="AA27" s="28">
        <v>3</v>
      </c>
      <c r="AB27" s="28" t="str">
        <f>IF(V27="","",IF($V$23=3,$C$23,IF($V$25=3,$C$25,IF($V$27=3,$C$27,IF($V$29=3,$C$29,IF($V$31=3,$C$31,0))))))</f>
        <v>VfL Waiblingen</v>
      </c>
    </row>
    <row r="28" spans="2:24" ht="10.5" customHeight="1">
      <c r="B28" s="122"/>
      <c r="C28" s="123"/>
      <c r="D28" s="93">
        <f>IF(D27="","",IF(D27&gt;F27,2,IF(D27&lt;F27,0,1)))</f>
        <v>2</v>
      </c>
      <c r="E28" s="51" t="s">
        <v>24</v>
      </c>
      <c r="F28" s="94">
        <f>IF(F27="","",IF(F27&gt;D27,2,IF(F27&lt;D27,0,1)))</f>
        <v>0</v>
      </c>
      <c r="G28" s="93">
        <f>IF(G27="","",IF(G27&gt;I27,2,IF(G27&lt;I27,0,1)))</f>
        <v>2</v>
      </c>
      <c r="H28" s="51" t="s">
        <v>24</v>
      </c>
      <c r="I28" s="94">
        <f>IF(I27="","",IF(I27&gt;G27,2,IF(I27&lt;G27,0,1)))</f>
        <v>0</v>
      </c>
      <c r="J28" s="90"/>
      <c r="K28" s="91"/>
      <c r="L28" s="92"/>
      <c r="M28" s="93">
        <f>IF(M27="","",IF(M27&gt;O27,2,IF(M27&lt;O27,0,1)))</f>
        <v>2</v>
      </c>
      <c r="N28" s="51" t="s">
        <v>24</v>
      </c>
      <c r="O28" s="94">
        <f>IF(O27="","",IF(O27&gt;M27,2,IF(O27&lt;M27,0,1)))</f>
        <v>0</v>
      </c>
      <c r="P28" s="93">
        <f>IF(P27="","",IF(P27&gt;R27,2,IF(P27&lt;R27,0,1)))</f>
        <v>2</v>
      </c>
      <c r="Q28" s="51" t="s">
        <v>24</v>
      </c>
      <c r="R28" s="94">
        <f>IF(R27="","",IF(R27&gt;P27,2,IF(R27&lt;P27,0,1)))</f>
        <v>0</v>
      </c>
      <c r="S28" s="93">
        <f>IF(X28="","",SUM(D28,G28,J28,M28,P28))</f>
        <v>8</v>
      </c>
      <c r="T28" s="51" t="s">
        <v>24</v>
      </c>
      <c r="U28" s="94">
        <f>IF(X28="","",SUM(F28,I28,L28,O28,R28))</f>
        <v>0</v>
      </c>
      <c r="V28" s="95"/>
      <c r="W28" s="96">
        <f>+(S28-U28)+S27/U27+S28</f>
        <v>17.11111111111111</v>
      </c>
      <c r="X28" s="34" t="s">
        <v>165</v>
      </c>
    </row>
    <row r="29" spans="2:28" ht="15" customHeight="1">
      <c r="B29" s="79" t="str">
        <f>IF(Daten!E17="","",Daten!E17)</f>
        <v>N2</v>
      </c>
      <c r="C29" s="80" t="str">
        <f>IF(Daten!F17="","",Daten!F17)</f>
        <v>TSV Marienfelde</v>
      </c>
      <c r="D29" s="84">
        <f>IF(O23="","",O23)</f>
        <v>39</v>
      </c>
      <c r="E29" s="85" t="s">
        <v>23</v>
      </c>
      <c r="F29" s="86">
        <f>IF(M23="","",M23)</f>
        <v>34</v>
      </c>
      <c r="G29" s="84">
        <f>IF(O25="","",O25)</f>
        <v>33</v>
      </c>
      <c r="H29" s="85" t="s">
        <v>23</v>
      </c>
      <c r="I29" s="86">
        <f>IF(M25="","",M25)</f>
        <v>38</v>
      </c>
      <c r="J29" s="84">
        <f>IF(O27="","",O27)</f>
        <v>36</v>
      </c>
      <c r="K29" s="85" t="s">
        <v>23</v>
      </c>
      <c r="L29" s="86">
        <f>IF(M27="","",M27)</f>
        <v>37</v>
      </c>
      <c r="M29" s="81"/>
      <c r="N29" s="82"/>
      <c r="O29" s="83"/>
      <c r="P29" s="84">
        <f>IF(Samstag!$Q96="","",Samstag!$Q96)</f>
        <v>36</v>
      </c>
      <c r="Q29" s="85" t="s">
        <v>23</v>
      </c>
      <c r="R29" s="86">
        <f>IF(Samstag!$S96="","",Samstag!$S96)</f>
        <v>38</v>
      </c>
      <c r="S29" s="84">
        <f>IF(X30="","",SUM(D29,G29,J29,M29,P29))</f>
        <v>144</v>
      </c>
      <c r="T29" s="85" t="s">
        <v>23</v>
      </c>
      <c r="U29" s="86">
        <f>IF(X30="","",SUM(F29,I29,L29,O29,R29))</f>
        <v>147</v>
      </c>
      <c r="V29" s="97">
        <f>IF(X29="","",RANK(W30,($W$24,$W$26,$W$28,$W$30,$W$32),0))</f>
        <v>4</v>
      </c>
      <c r="X29" s="34" t="s">
        <v>165</v>
      </c>
      <c r="AA29" s="28">
        <v>4</v>
      </c>
      <c r="AB29" s="28" t="str">
        <f>IF(V29="","",IF($V$23=4,$C$23,IF($V$25=4,$C$25,IF($V$27=4,$C$27,IF($V$29=4,$C$29,IF($V$31=4,$C$31,0))))))</f>
        <v>TSV Marienfelde</v>
      </c>
    </row>
    <row r="30" spans="2:24" ht="10.5" customHeight="1">
      <c r="B30" s="120"/>
      <c r="C30" s="123"/>
      <c r="D30" s="93">
        <f>IF(D29="","",IF(D29&gt;F29,2,IF(D29&lt;F29,0,1)))</f>
        <v>2</v>
      </c>
      <c r="E30" s="51" t="s">
        <v>24</v>
      </c>
      <c r="F30" s="94">
        <f>IF(F29="","",IF(F29&gt;D29,2,IF(F29&lt;D29,0,1)))</f>
        <v>0</v>
      </c>
      <c r="G30" s="93">
        <f>IF(G29="","",IF(G29&gt;I29,2,IF(G29&lt;I29,0,1)))</f>
        <v>0</v>
      </c>
      <c r="H30" s="51" t="s">
        <v>24</v>
      </c>
      <c r="I30" s="94">
        <f>IF(I29="","",IF(I29&gt;G29,2,IF(I29&lt;G29,0,1)))</f>
        <v>2</v>
      </c>
      <c r="J30" s="93">
        <f>IF(J29="","",IF(J29&gt;L29,2,IF(J29&lt;L29,0,1)))</f>
        <v>0</v>
      </c>
      <c r="K30" s="51" t="s">
        <v>24</v>
      </c>
      <c r="L30" s="94">
        <f>IF(L29="","",IF(L29&gt;J29,2,IF(L29&lt;J29,0,1)))</f>
        <v>2</v>
      </c>
      <c r="M30" s="90"/>
      <c r="N30" s="91"/>
      <c r="O30" s="92"/>
      <c r="P30" s="93">
        <f>IF(P29="","",IF(P29&gt;R29,2,IF(P29&lt;R29,0,1)))</f>
        <v>0</v>
      </c>
      <c r="Q30" s="51" t="s">
        <v>24</v>
      </c>
      <c r="R30" s="94">
        <f>IF(R29="","",IF(R29&gt;P29,2,IF(R29&lt;P29,0,1)))</f>
        <v>2</v>
      </c>
      <c r="S30" s="93">
        <f>IF(X30="","",SUM(D30,G30,J30,M30,P30))</f>
        <v>2</v>
      </c>
      <c r="T30" s="51" t="s">
        <v>24</v>
      </c>
      <c r="U30" s="94">
        <f>IF(X30="","",SUM(F30,I30,L30,O30,R30))</f>
        <v>6</v>
      </c>
      <c r="V30" s="95"/>
      <c r="W30" s="96">
        <f>+(S30-U30)+S29/U29+S30</f>
        <v>-1.020408163265306</v>
      </c>
      <c r="X30" s="34" t="s">
        <v>165</v>
      </c>
    </row>
    <row r="31" spans="2:28" ht="15" customHeight="1">
      <c r="B31" s="79" t="str">
        <f>IF(Daten!E18="","",Daten!E18)</f>
        <v>S2</v>
      </c>
      <c r="C31" s="80" t="str">
        <f>IF(Daten!F18="","",Daten!F18)</f>
        <v>VfL Waiblingen</v>
      </c>
      <c r="D31" s="84">
        <f>IF(R23="","",R23)</f>
        <v>39</v>
      </c>
      <c r="E31" s="85" t="s">
        <v>23</v>
      </c>
      <c r="F31" s="86">
        <f>IF(P23="","",P23)</f>
        <v>38</v>
      </c>
      <c r="G31" s="84">
        <f>IF(R25="","",R25)</f>
        <v>30</v>
      </c>
      <c r="H31" s="85" t="s">
        <v>23</v>
      </c>
      <c r="I31" s="86">
        <f>IF(P25="","",P25)</f>
        <v>38</v>
      </c>
      <c r="J31" s="84">
        <f>IF(R27="","",R27)</f>
        <v>33</v>
      </c>
      <c r="K31" s="85" t="s">
        <v>23</v>
      </c>
      <c r="L31" s="86">
        <f>IF(P27="","",P27)</f>
        <v>42</v>
      </c>
      <c r="M31" s="84">
        <f>IF(R29="","",R29)</f>
        <v>38</v>
      </c>
      <c r="N31" s="85" t="s">
        <v>23</v>
      </c>
      <c r="O31" s="86">
        <f>IF(P29="","",P29)</f>
        <v>36</v>
      </c>
      <c r="P31" s="81"/>
      <c r="Q31" s="82"/>
      <c r="R31" s="83"/>
      <c r="S31" s="84">
        <f>IF(X32="","",SUM(D31,G31,J31,M31,P31))</f>
        <v>140</v>
      </c>
      <c r="T31" s="85" t="s">
        <v>23</v>
      </c>
      <c r="U31" s="86">
        <f>IF(X32="","",SUM(F31,I31,L31,O31,R31))</f>
        <v>154</v>
      </c>
      <c r="V31" s="97">
        <f>IF(X31="","",RANK(W32,($W$24,$W$26,$W$28,$W$30,$W$32),0))</f>
        <v>3</v>
      </c>
      <c r="X31" s="34" t="s">
        <v>165</v>
      </c>
      <c r="AA31" s="28">
        <v>5</v>
      </c>
      <c r="AB31" s="28" t="str">
        <f>IF(V31="","",IF($V$23=5,$C$23,IF($V$25=5,$C$25,IF($V$27=5,$C$27,IF($V$29=5,$C$29,IF($V$31=5,$C$31,0))))))</f>
        <v>TV Berkenbaum </v>
      </c>
    </row>
    <row r="32" spans="2:24" ht="10.5" customHeight="1">
      <c r="B32" s="122"/>
      <c r="C32" s="123"/>
      <c r="D32" s="93">
        <f>IF(D31="","",IF(D31&gt;F31,2,IF(D31&lt;F31,0,1)))</f>
        <v>2</v>
      </c>
      <c r="E32" s="51" t="s">
        <v>24</v>
      </c>
      <c r="F32" s="94">
        <f>IF(F31="","",IF(F31&gt;D31,2,IF(F31&lt;D31,0,1)))</f>
        <v>0</v>
      </c>
      <c r="G32" s="93">
        <f>IF(G31="","",IF(G31&gt;I31,2,IF(G31&lt;I31,0,1)))</f>
        <v>0</v>
      </c>
      <c r="H32" s="51" t="s">
        <v>24</v>
      </c>
      <c r="I32" s="94">
        <f>IF(I31="","",IF(I31&gt;G31,2,IF(I31&lt;G31,0,1)))</f>
        <v>2</v>
      </c>
      <c r="J32" s="93">
        <f>IF(J31="","",IF(J31&gt;L31,2,IF(J31&lt;L31,0,1)))</f>
        <v>0</v>
      </c>
      <c r="K32" s="51" t="s">
        <v>24</v>
      </c>
      <c r="L32" s="94">
        <f>IF(L31="","",IF(L31&gt;J31,2,IF(L31&lt;J31,0,1)))</f>
        <v>2</v>
      </c>
      <c r="M32" s="93">
        <f>IF(M31="","",IF(M31&gt;O31,2,IF(M31&lt;O31,0,1)))</f>
        <v>2</v>
      </c>
      <c r="N32" s="51" t="s">
        <v>24</v>
      </c>
      <c r="O32" s="94">
        <f>IF(O31="","",IF(O31&gt;M31,2,IF(O31&lt;M31,0,1)))</f>
        <v>0</v>
      </c>
      <c r="P32" s="90"/>
      <c r="Q32" s="91"/>
      <c r="R32" s="92"/>
      <c r="S32" s="93">
        <f>IF(X32="","",SUM(D32,G32,J32,M32,P32))</f>
        <v>4</v>
      </c>
      <c r="T32" s="51" t="s">
        <v>24</v>
      </c>
      <c r="U32" s="94">
        <f>IF(X32="","",SUM(F32,I32,L32,O32,R32))</f>
        <v>4</v>
      </c>
      <c r="V32" s="95"/>
      <c r="W32" s="96">
        <f>+(S32-U32)+S31/U31+S32</f>
        <v>4.909090909090909</v>
      </c>
      <c r="X32" s="34" t="s">
        <v>165</v>
      </c>
    </row>
    <row r="33" spans="2:24" ht="9.75" customHeight="1">
      <c r="B33" s="100"/>
      <c r="C33" s="100"/>
      <c r="D33" s="101"/>
      <c r="E33" s="85"/>
      <c r="F33" s="102"/>
      <c r="G33" s="101"/>
      <c r="H33" s="85"/>
      <c r="I33" s="102"/>
      <c r="J33" s="101"/>
      <c r="K33" s="85"/>
      <c r="L33" s="102"/>
      <c r="M33" s="101"/>
      <c r="N33" s="85"/>
      <c r="O33" s="102"/>
      <c r="P33" s="103"/>
      <c r="Q33" s="103"/>
      <c r="R33" s="103"/>
      <c r="S33" s="101"/>
      <c r="T33" s="85"/>
      <c r="U33" s="102"/>
      <c r="V33" s="104"/>
      <c r="W33" s="96"/>
      <c r="X33" s="34"/>
    </row>
    <row r="34" spans="2:24" ht="9.75" customHeight="1" outlineLevel="1">
      <c r="B34" s="105" t="s">
        <v>25</v>
      </c>
      <c r="C34" s="106" t="str">
        <f>+C23</f>
        <v>TV Berkenbaum </v>
      </c>
      <c r="D34" s="107"/>
      <c r="E34" s="108"/>
      <c r="F34" s="109"/>
      <c r="G34" s="110"/>
      <c r="H34" s="111" t="s">
        <v>23</v>
      </c>
      <c r="I34" s="112"/>
      <c r="J34" s="110"/>
      <c r="K34" s="111" t="s">
        <v>23</v>
      </c>
      <c r="L34" s="112"/>
      <c r="M34" s="110"/>
      <c r="N34" s="111" t="s">
        <v>23</v>
      </c>
      <c r="O34" s="112"/>
      <c r="P34" s="113"/>
      <c r="Q34" s="111" t="s">
        <v>23</v>
      </c>
      <c r="R34" s="114"/>
      <c r="S34" s="55"/>
      <c r="T34" s="115"/>
      <c r="U34" s="116"/>
      <c r="V34" s="31"/>
      <c r="W34" s="96"/>
      <c r="X34" s="34"/>
    </row>
    <row r="35" spans="2:24" ht="9.75" customHeight="1" outlineLevel="1">
      <c r="B35" s="117"/>
      <c r="C35" s="106" t="str">
        <f>+C25</f>
        <v>TV Hemer </v>
      </c>
      <c r="D35" s="110">
        <f>IF(I34="","",I34)</f>
      </c>
      <c r="E35" s="111" t="s">
        <v>23</v>
      </c>
      <c r="F35" s="112">
        <f>IF(G34="","",G34)</f>
      </c>
      <c r="G35" s="107"/>
      <c r="H35" s="108"/>
      <c r="I35" s="109"/>
      <c r="J35" s="110"/>
      <c r="K35" s="111" t="s">
        <v>23</v>
      </c>
      <c r="L35" s="112"/>
      <c r="M35" s="110"/>
      <c r="N35" s="111" t="s">
        <v>23</v>
      </c>
      <c r="O35" s="112"/>
      <c r="P35" s="113"/>
      <c r="Q35" s="111" t="s">
        <v>23</v>
      </c>
      <c r="R35" s="114"/>
      <c r="S35" s="55"/>
      <c r="T35" s="115"/>
      <c r="U35" s="116"/>
      <c r="V35" s="31"/>
      <c r="W35" s="96"/>
      <c r="X35" s="34"/>
    </row>
    <row r="36" spans="2:24" ht="9.75" customHeight="1" outlineLevel="1">
      <c r="B36" s="117"/>
      <c r="C36" s="106" t="str">
        <f>+C27</f>
        <v>MTV Markoldendorf</v>
      </c>
      <c r="D36" s="110">
        <f>IF(L34="","",L34)</f>
      </c>
      <c r="E36" s="111" t="s">
        <v>23</v>
      </c>
      <c r="F36" s="112">
        <f>IF(J34="","",J34)</f>
      </c>
      <c r="G36" s="110">
        <f>IF(L35="","",L35)</f>
      </c>
      <c r="H36" s="111" t="s">
        <v>23</v>
      </c>
      <c r="I36" s="112">
        <f>IF(J35="","",J35)</f>
      </c>
      <c r="J36" s="107"/>
      <c r="K36" s="108"/>
      <c r="L36" s="109"/>
      <c r="M36" s="110"/>
      <c r="N36" s="111" t="s">
        <v>23</v>
      </c>
      <c r="O36" s="112"/>
      <c r="P36" s="113"/>
      <c r="Q36" s="111" t="s">
        <v>23</v>
      </c>
      <c r="R36" s="114"/>
      <c r="S36" s="55"/>
      <c r="T36" s="115"/>
      <c r="U36" s="116"/>
      <c r="V36" s="31"/>
      <c r="W36" s="96"/>
      <c r="X36" s="34"/>
    </row>
    <row r="37" spans="2:24" ht="9.75" customHeight="1" outlineLevel="1">
      <c r="B37" s="117"/>
      <c r="C37" s="106" t="str">
        <f>+C29</f>
        <v>TSV Marienfelde</v>
      </c>
      <c r="D37" s="110">
        <f>IF(O34="","",O34)</f>
      </c>
      <c r="E37" s="111" t="s">
        <v>23</v>
      </c>
      <c r="F37" s="112">
        <f>IF(M34="","",M34)</f>
      </c>
      <c r="G37" s="110">
        <f>IF(O35="","",O35)</f>
      </c>
      <c r="H37" s="111" t="s">
        <v>23</v>
      </c>
      <c r="I37" s="112">
        <f>IF(M35="","",M35)</f>
      </c>
      <c r="J37" s="110">
        <f>IF(O36="","",O36)</f>
      </c>
      <c r="K37" s="111" t="s">
        <v>23</v>
      </c>
      <c r="L37" s="112">
        <f>IF(M36="","",M36)</f>
      </c>
      <c r="M37" s="107"/>
      <c r="N37" s="108"/>
      <c r="O37" s="109"/>
      <c r="P37" s="113"/>
      <c r="Q37" s="111" t="s">
        <v>23</v>
      </c>
      <c r="R37" s="114"/>
      <c r="S37" s="55"/>
      <c r="T37" s="115"/>
      <c r="U37" s="116"/>
      <c r="V37" s="31"/>
      <c r="W37" s="96"/>
      <c r="X37" s="34"/>
    </row>
    <row r="38" spans="3:18" ht="9.75" customHeight="1" outlineLevel="1">
      <c r="C38" s="106" t="str">
        <f>+C31</f>
        <v>VfL Waiblingen</v>
      </c>
      <c r="D38" s="110">
        <f>IF(R34="","",R34)</f>
      </c>
      <c r="E38" s="111" t="s">
        <v>23</v>
      </c>
      <c r="F38" s="112">
        <f>IF(P34="","",P34)</f>
      </c>
      <c r="G38" s="110">
        <f>IF(R35="","",R35)</f>
      </c>
      <c r="H38" s="111" t="s">
        <v>23</v>
      </c>
      <c r="I38" s="112">
        <f>IF(P35="","",P35)</f>
      </c>
      <c r="J38" s="110">
        <f>IF(R36="","",R36)</f>
      </c>
      <c r="K38" s="111" t="s">
        <v>23</v>
      </c>
      <c r="L38" s="112">
        <f>IF(P36="","",P36)</f>
      </c>
      <c r="M38" s="110">
        <f>IF(R37="","",R37)</f>
      </c>
      <c r="N38" s="111" t="s">
        <v>23</v>
      </c>
      <c r="O38" s="112">
        <f>IF(P37="","",P37)</f>
      </c>
      <c r="P38" s="107"/>
      <c r="Q38" s="108"/>
      <c r="R38" s="109"/>
    </row>
    <row r="39" ht="18" customHeight="1">
      <c r="B39" s="30" t="s">
        <v>100</v>
      </c>
    </row>
    <row r="40" spans="1:15" ht="17.25" customHeight="1">
      <c r="A40" s="28" t="s">
        <v>26</v>
      </c>
      <c r="B40" s="124" t="str">
        <f>"4."&amp;+$C$4&amp;"  5."&amp;+$C$22</f>
        <v>4.Gruppe E  5.Gruppe F</v>
      </c>
      <c r="C40" s="125" t="str">
        <f>IF(M40="","",$AB$11&amp;" : "&amp;$AB$31)</f>
        <v>TV Hochneukirch : TV Berkenbaum </v>
      </c>
      <c r="D40" s="126"/>
      <c r="E40" s="126"/>
      <c r="F40" s="126"/>
      <c r="G40" s="126"/>
      <c r="H40" s="127"/>
      <c r="I40" s="119"/>
      <c r="J40" s="128">
        <f>IF(Sonntag!Q27="","",Sonntag!Q27)</f>
        <v>33</v>
      </c>
      <c r="K40" s="129" t="s">
        <v>23</v>
      </c>
      <c r="L40" s="130">
        <f>IF(Sonntag!S27="","",Sonntag!S27)</f>
        <v>34</v>
      </c>
      <c r="M40" s="131" t="s">
        <v>165</v>
      </c>
      <c r="N40" s="132"/>
      <c r="O40" s="67"/>
    </row>
    <row r="41" spans="1:13" ht="4.5" customHeight="1">
      <c r="A41" s="31"/>
      <c r="B41" s="56"/>
      <c r="C41" s="31"/>
      <c r="D41" s="133"/>
      <c r="E41" s="134"/>
      <c r="F41" s="133"/>
      <c r="G41" s="133"/>
      <c r="H41" s="133"/>
      <c r="I41" s="133"/>
      <c r="J41" s="135"/>
      <c r="L41" s="136"/>
      <c r="M41" s="36"/>
    </row>
    <row r="42" spans="1:14" ht="17.25" customHeight="1">
      <c r="A42" s="28" t="s">
        <v>27</v>
      </c>
      <c r="B42" s="124" t="str">
        <f>"4."&amp;+$C$22&amp;"  5."&amp;+$C$4</f>
        <v>4.Gruppe F  5.Gruppe E</v>
      </c>
      <c r="C42" s="125" t="str">
        <f>IF(M42="","",$AB$29&amp;" : "&amp;$AB$13)</f>
        <v>TSV Marienfelde : TSV Babenhausen</v>
      </c>
      <c r="D42" s="137"/>
      <c r="E42" s="137"/>
      <c r="F42" s="137"/>
      <c r="G42" s="137"/>
      <c r="H42" s="137"/>
      <c r="I42" s="75"/>
      <c r="J42" s="128">
        <f>IF(Sonntag!Q28="","",Sonntag!Q28)</f>
        <v>38</v>
      </c>
      <c r="K42" s="129" t="s">
        <v>23</v>
      </c>
      <c r="L42" s="130">
        <f>IF(Sonntag!S28="","",Sonntag!S28)</f>
        <v>41</v>
      </c>
      <c r="M42" s="131" t="s">
        <v>165</v>
      </c>
      <c r="N42" s="132"/>
    </row>
    <row r="43" spans="2:22" ht="18" customHeight="1">
      <c r="B43" s="156" t="s">
        <v>101</v>
      </c>
      <c r="C43" s="133"/>
      <c r="D43" s="133"/>
      <c r="E43" s="134"/>
      <c r="F43" s="133"/>
      <c r="G43" s="133"/>
      <c r="H43" s="133"/>
      <c r="I43" s="133"/>
      <c r="J43" s="135"/>
      <c r="L43" s="136"/>
      <c r="M43" s="36"/>
      <c r="P43" s="31"/>
      <c r="Q43" s="31"/>
      <c r="R43" s="31"/>
      <c r="S43" s="31"/>
      <c r="T43" s="31"/>
      <c r="U43" s="31"/>
      <c r="V43" s="31"/>
    </row>
    <row r="44" spans="2:22" ht="17.25" customHeight="1">
      <c r="B44" s="161" t="str">
        <f>"V."&amp;A40&amp;"/"&amp;A42&amp;"      9./10. Pl."</f>
        <v>V.a/b      9./10. Pl.</v>
      </c>
      <c r="C44" s="138" t="str">
        <f>IF(M44="","",IF(J40="","",Sonntag!H35)&amp;" : "&amp;IF(J42="","",Sonntag!L35))</f>
        <v>TV Hochneukirch : TSV Marienfelde</v>
      </c>
      <c r="D44" s="137"/>
      <c r="E44" s="137"/>
      <c r="F44" s="137"/>
      <c r="G44" s="137"/>
      <c r="H44" s="137"/>
      <c r="I44" s="75"/>
      <c r="J44" s="128">
        <f>IF(Sonntag!Q35="","",Sonntag!Q35)</f>
        <v>41</v>
      </c>
      <c r="K44" s="129" t="s">
        <v>23</v>
      </c>
      <c r="L44" s="130">
        <f>IF(Sonntag!S35="","",Sonntag!S35)</f>
        <v>37</v>
      </c>
      <c r="M44" s="36" t="s">
        <v>165</v>
      </c>
      <c r="O44" s="40" t="s">
        <v>28</v>
      </c>
      <c r="P44" s="139"/>
      <c r="Q44" s="139"/>
      <c r="R44" s="139"/>
      <c r="S44" s="139"/>
      <c r="T44" s="139"/>
      <c r="U44" s="139"/>
      <c r="V44" s="139"/>
    </row>
    <row r="45" spans="2:22" ht="4.5" customHeight="1">
      <c r="B45" s="140"/>
      <c r="C45" s="133"/>
      <c r="D45" s="133"/>
      <c r="E45" s="133"/>
      <c r="F45" s="133"/>
      <c r="G45" s="133"/>
      <c r="H45" s="134"/>
      <c r="I45" s="133"/>
      <c r="J45" s="135"/>
      <c r="L45" s="136"/>
      <c r="M45" s="36"/>
      <c r="P45" s="31"/>
      <c r="Q45" s="31"/>
      <c r="R45" s="31"/>
      <c r="S45" s="31"/>
      <c r="T45" s="31"/>
      <c r="U45" s="31"/>
      <c r="V45" s="31"/>
    </row>
    <row r="46" spans="2:22" ht="17.25" customHeight="1">
      <c r="B46" s="161" t="str">
        <f>"S."&amp;A40&amp;"/"&amp;A42&amp;"      7./8. Pl."</f>
        <v>S.a/b      7./8. Pl.</v>
      </c>
      <c r="C46" s="138" t="str">
        <f>IF(M46="","",IF($J$40="","",Sonntag!H36)&amp;" : "&amp;IF($J$42="","",Sonntag!L36))</f>
        <v>TV Berkenbaum  : TSV Babenhausen</v>
      </c>
      <c r="D46" s="126"/>
      <c r="E46" s="127"/>
      <c r="F46" s="126"/>
      <c r="G46" s="126"/>
      <c r="H46" s="126"/>
      <c r="I46" s="119"/>
      <c r="J46" s="128">
        <f>IF(Sonntag!Q36="","",Sonntag!Q36)</f>
        <v>36</v>
      </c>
      <c r="K46" s="129" t="s">
        <v>23</v>
      </c>
      <c r="L46" s="130">
        <f>IF(Sonntag!S36="","",Sonntag!S36)</f>
        <v>33</v>
      </c>
      <c r="M46" s="36" t="s">
        <v>165</v>
      </c>
      <c r="O46" s="164">
        <v>1</v>
      </c>
      <c r="P46" s="141" t="str">
        <f>" "&amp;IF(J60="","",IF(Sonntag!Q65&gt;Sonntag!S65,Sonntag!H65,Sonntag!L65))</f>
        <v> Vegesacker TV</v>
      </c>
      <c r="Q46" s="141"/>
      <c r="R46" s="141"/>
      <c r="S46" s="141"/>
      <c r="T46" s="141"/>
      <c r="U46" s="141"/>
      <c r="V46" s="142"/>
    </row>
    <row r="47" spans="2:22" ht="18" customHeight="1">
      <c r="B47" s="156" t="s">
        <v>29</v>
      </c>
      <c r="C47" s="133"/>
      <c r="D47" s="133"/>
      <c r="E47" s="133"/>
      <c r="F47" s="133"/>
      <c r="G47" s="133"/>
      <c r="H47" s="134"/>
      <c r="I47" s="133"/>
      <c r="J47" s="135"/>
      <c r="L47" s="136"/>
      <c r="M47" s="36"/>
      <c r="O47" s="143">
        <v>2</v>
      </c>
      <c r="P47" s="144" t="str">
        <f>" "&amp;IF(J60="","",IF(Sonntag!Q65&lt;Sonntag!S65,Sonntag!H65,Sonntag!L65))</f>
        <v> MTV Markoldendorf</v>
      </c>
      <c r="Q47" s="67"/>
      <c r="R47" s="67"/>
      <c r="S47" s="67"/>
      <c r="T47" s="67"/>
      <c r="U47" s="67"/>
      <c r="V47" s="145"/>
    </row>
    <row r="48" spans="1:22" ht="17.25" customHeight="1">
      <c r="A48" s="28" t="s">
        <v>30</v>
      </c>
      <c r="B48" s="124" t="str">
        <f>"2."&amp;+$C$4&amp;"  3."&amp;+$C$22</f>
        <v>2.Gruppe E  3.Gruppe F</v>
      </c>
      <c r="C48" s="125" t="str">
        <f>IF(M48="","",$AB$7&amp;" : "&amp;$AB$27)</f>
        <v>TV Zeilhard : VfL Waiblingen</v>
      </c>
      <c r="D48" s="126"/>
      <c r="E48" s="127"/>
      <c r="F48" s="126"/>
      <c r="G48" s="126"/>
      <c r="H48" s="126"/>
      <c r="I48" s="119"/>
      <c r="J48" s="128">
        <f>IF(Sonntag!Q41="","",Sonntag!Q41)</f>
        <v>34</v>
      </c>
      <c r="K48" s="129" t="s">
        <v>23</v>
      </c>
      <c r="L48" s="130">
        <f>IF(Sonntag!S41="","",Sonntag!S41)</f>
        <v>35</v>
      </c>
      <c r="M48" s="36" t="s">
        <v>165</v>
      </c>
      <c r="O48" s="143">
        <v>3</v>
      </c>
      <c r="P48" s="146" t="str">
        <f>" "&amp;IF(J58="","",IF(Sonntag!Q61&gt;Sonntag!S61,Sonntag!H61,Sonntag!L61))</f>
        <v> TV Hemer </v>
      </c>
      <c r="Q48" s="67"/>
      <c r="R48" s="67"/>
      <c r="S48" s="67"/>
      <c r="T48" s="67"/>
      <c r="U48" s="67"/>
      <c r="V48" s="145"/>
    </row>
    <row r="49" spans="2:22" ht="4.5" customHeight="1">
      <c r="B49" s="133"/>
      <c r="C49" s="133"/>
      <c r="D49" s="133"/>
      <c r="E49" s="133"/>
      <c r="F49" s="133"/>
      <c r="G49" s="133"/>
      <c r="H49" s="133"/>
      <c r="I49" s="133"/>
      <c r="J49" s="135"/>
      <c r="L49" s="136"/>
      <c r="M49" s="36"/>
      <c r="O49" s="143"/>
      <c r="P49" s="67"/>
      <c r="Q49" s="67"/>
      <c r="R49" s="67"/>
      <c r="S49" s="67"/>
      <c r="T49" s="67"/>
      <c r="U49" s="67"/>
      <c r="V49" s="145"/>
    </row>
    <row r="50" spans="1:22" ht="17.25" customHeight="1">
      <c r="A50" s="28" t="s">
        <v>31</v>
      </c>
      <c r="B50" s="124" t="str">
        <f>"2."&amp;+$C$22&amp;"  3."&amp;+$C$4</f>
        <v>2.Gruppe F  3.Gruppe E</v>
      </c>
      <c r="C50" s="125" t="str">
        <f>IF(M50="","",$AB$25&amp;" : "&amp;$AB$9)</f>
        <v>TV Hemer  : TV Freiburg St. Georgen</v>
      </c>
      <c r="D50" s="126"/>
      <c r="E50" s="126"/>
      <c r="F50" s="126"/>
      <c r="G50" s="126"/>
      <c r="H50" s="127"/>
      <c r="I50" s="119"/>
      <c r="J50" s="128">
        <f>IF(Sonntag!Q45="","",Sonntag!Q45)</f>
        <v>43</v>
      </c>
      <c r="K50" s="129" t="s">
        <v>23</v>
      </c>
      <c r="L50" s="130">
        <f>IF(Sonntag!S45="","",Sonntag!S45)</f>
        <v>29</v>
      </c>
      <c r="M50" s="36" t="s">
        <v>165</v>
      </c>
      <c r="O50" s="143">
        <v>4</v>
      </c>
      <c r="P50" s="146" t="str">
        <f>" "&amp;IF(J58="","",IF(Sonntag!Q61&lt;Sonntag!S61,Sonntag!H61,Sonntag!L61))</f>
        <v> VfL Waiblingen</v>
      </c>
      <c r="Q50" s="67"/>
      <c r="R50" s="67"/>
      <c r="S50" s="67"/>
      <c r="T50" s="67"/>
      <c r="U50" s="67"/>
      <c r="V50" s="145"/>
    </row>
    <row r="51" spans="2:22" ht="18" customHeight="1">
      <c r="B51" s="156" t="s">
        <v>32</v>
      </c>
      <c r="C51" s="133"/>
      <c r="D51" s="133"/>
      <c r="E51" s="133"/>
      <c r="F51" s="133"/>
      <c r="G51" s="133"/>
      <c r="H51" s="133"/>
      <c r="I51" s="133"/>
      <c r="J51" s="135"/>
      <c r="L51" s="136"/>
      <c r="M51" s="36"/>
      <c r="O51" s="143">
        <v>5</v>
      </c>
      <c r="P51" s="146" t="str">
        <f>" "&amp;IF(J56="","",IF(Sonntag!Q57&gt;Sonntag!S57,Sonntag!H57,Sonntag!L57))</f>
        <v> TV Freiburg St. Georgen</v>
      </c>
      <c r="Q51" s="67"/>
      <c r="R51" s="67"/>
      <c r="S51" s="67"/>
      <c r="T51" s="67"/>
      <c r="U51" s="67"/>
      <c r="V51" s="145"/>
    </row>
    <row r="52" spans="1:22" ht="17.25" customHeight="1">
      <c r="A52" s="28" t="s">
        <v>33</v>
      </c>
      <c r="B52" s="124" t="str">
        <f>"1."&amp;+$C$4&amp;"  Sieger "&amp;+$A$50</f>
        <v>1.Gruppe E  Sieger d</v>
      </c>
      <c r="C52" s="138" t="str">
        <f>IF(M52="","",$AB$5&amp;" : "&amp;IF(J50="","",Sonntag!L53))</f>
        <v>Vegesacker TV : TV Hemer </v>
      </c>
      <c r="D52" s="126"/>
      <c r="E52" s="126"/>
      <c r="F52" s="126"/>
      <c r="G52" s="126"/>
      <c r="H52" s="127"/>
      <c r="I52" s="119"/>
      <c r="J52" s="128">
        <f>IF(Sonntag!Q53="","",Sonntag!Q53)</f>
        <v>42</v>
      </c>
      <c r="K52" s="129" t="s">
        <v>23</v>
      </c>
      <c r="L52" s="130">
        <f>IF(Sonntag!S53="","",Sonntag!S53)</f>
        <v>34</v>
      </c>
      <c r="M52" s="36" t="s">
        <v>165</v>
      </c>
      <c r="O52" s="143">
        <v>6</v>
      </c>
      <c r="P52" s="146" t="str">
        <f>" "&amp;IF(J56="","",IF(Sonntag!Q57&lt;Sonntag!S57,Sonntag!H57,Sonntag!L57))</f>
        <v> TV Zeilhard</v>
      </c>
      <c r="Q52" s="67"/>
      <c r="R52" s="67"/>
      <c r="S52" s="67"/>
      <c r="T52" s="67"/>
      <c r="U52" s="67"/>
      <c r="V52" s="145"/>
    </row>
    <row r="53" spans="2:22" ht="4.5" customHeight="1">
      <c r="B53" s="134"/>
      <c r="C53" s="133"/>
      <c r="D53" s="133"/>
      <c r="E53" s="134"/>
      <c r="F53" s="133"/>
      <c r="G53" s="133"/>
      <c r="H53" s="133"/>
      <c r="I53" s="133"/>
      <c r="J53" s="135"/>
      <c r="L53" s="136"/>
      <c r="M53" s="36"/>
      <c r="O53" s="143"/>
      <c r="P53" s="67"/>
      <c r="Q53" s="67"/>
      <c r="R53" s="67"/>
      <c r="S53" s="67"/>
      <c r="T53" s="67"/>
      <c r="U53" s="67"/>
      <c r="V53" s="145"/>
    </row>
    <row r="54" spans="1:22" ht="17.25" customHeight="1">
      <c r="A54" s="28" t="s">
        <v>34</v>
      </c>
      <c r="B54" s="124" t="str">
        <f>"1."&amp;+$C$22&amp;"  Sieger "&amp;+$A$48</f>
        <v>1.Gruppe F  Sieger c</v>
      </c>
      <c r="C54" s="138" t="str">
        <f>IF(M54="","",$AB$23&amp;" : "&amp;IF(J48="","",Sonntag!L49))</f>
        <v>MTV Markoldendorf : VfL Waiblingen</v>
      </c>
      <c r="D54" s="126"/>
      <c r="E54" s="126"/>
      <c r="F54" s="126"/>
      <c r="G54" s="126"/>
      <c r="H54" s="126"/>
      <c r="I54" s="119"/>
      <c r="J54" s="128">
        <f>IF(Sonntag!Q49="","",Sonntag!Q49)</f>
        <v>37</v>
      </c>
      <c r="K54" s="129" t="s">
        <v>23</v>
      </c>
      <c r="L54" s="130">
        <f>IF(Sonntag!S49="","",Sonntag!S49)</f>
        <v>35</v>
      </c>
      <c r="M54" s="36" t="s">
        <v>165</v>
      </c>
      <c r="O54" s="143">
        <v>7</v>
      </c>
      <c r="P54" s="146" t="str">
        <f>" "&amp;IF(J46="","",IF(Sonntag!Q36&gt;Sonntag!S36,Sonntag!H36,Sonntag!L36))</f>
        <v> TV Berkenbaum </v>
      </c>
      <c r="Q54" s="67"/>
      <c r="R54" s="67"/>
      <c r="S54" s="67"/>
      <c r="T54" s="67"/>
      <c r="U54" s="67"/>
      <c r="V54" s="145"/>
    </row>
    <row r="55" spans="2:22" ht="18" customHeight="1">
      <c r="B55" s="158" t="s">
        <v>102</v>
      </c>
      <c r="C55" s="133"/>
      <c r="D55" s="133"/>
      <c r="E55" s="134"/>
      <c r="F55" s="133"/>
      <c r="G55" s="133"/>
      <c r="H55" s="133"/>
      <c r="I55" s="133"/>
      <c r="J55" s="135"/>
      <c r="L55" s="136"/>
      <c r="M55" s="36"/>
      <c r="O55" s="143">
        <v>8</v>
      </c>
      <c r="P55" s="146" t="str">
        <f>" "&amp;IF(J46="","",IF(Sonntag!Q36&lt;Sonntag!S36,Sonntag!H36,Sonntag!L36))</f>
        <v> TSV Babenhausen</v>
      </c>
      <c r="Q55" s="67"/>
      <c r="R55" s="67"/>
      <c r="S55" s="67"/>
      <c r="T55" s="67"/>
      <c r="U55" s="67"/>
      <c r="V55" s="145"/>
    </row>
    <row r="56" spans="2:22" ht="17.25" customHeight="1">
      <c r="B56" s="161" t="str">
        <f>"V."&amp;A48&amp;"/"&amp;A50&amp;"         5./6. Pl."</f>
        <v>V.c/d         5./6. Pl.</v>
      </c>
      <c r="C56" s="138" t="str">
        <f>IF(M56="","",IF(J48="","",Sonntag!H57)&amp;" : "&amp;IF(J50="","",Sonntag!L57))</f>
        <v>TV Zeilhard : TV Freiburg St. Georgen</v>
      </c>
      <c r="D56" s="126"/>
      <c r="E56" s="126"/>
      <c r="F56" s="126"/>
      <c r="G56" s="126"/>
      <c r="H56" s="126"/>
      <c r="I56" s="119"/>
      <c r="J56" s="128">
        <f>IF(Sonntag!Q57="","",Sonntag!Q57)</f>
        <v>26</v>
      </c>
      <c r="K56" s="129" t="s">
        <v>23</v>
      </c>
      <c r="L56" s="130">
        <f>IF(Sonntag!S57="","",Sonntag!S57)</f>
        <v>43</v>
      </c>
      <c r="M56" s="36" t="s">
        <v>165</v>
      </c>
      <c r="O56" s="143">
        <v>9</v>
      </c>
      <c r="P56" s="146" t="str">
        <f>" "&amp;IF(J44="","",IF(Sonntag!Q35&gt;Sonntag!S35,Sonntag!H35,Sonntag!L35))</f>
        <v> TV Hochneukirch</v>
      </c>
      <c r="Q56" s="67"/>
      <c r="R56" s="67"/>
      <c r="S56" s="67"/>
      <c r="T56" s="67"/>
      <c r="U56" s="67"/>
      <c r="V56" s="145"/>
    </row>
    <row r="57" spans="2:22" ht="4.5" customHeight="1">
      <c r="B57" s="133"/>
      <c r="C57" s="133"/>
      <c r="D57" s="133"/>
      <c r="E57" s="133"/>
      <c r="F57" s="133"/>
      <c r="G57" s="133"/>
      <c r="H57" s="134"/>
      <c r="I57" s="133"/>
      <c r="J57" s="135"/>
      <c r="L57" s="136"/>
      <c r="M57" s="36"/>
      <c r="O57" s="143"/>
      <c r="P57" s="67"/>
      <c r="Q57" s="67"/>
      <c r="R57" s="67"/>
      <c r="S57" s="67"/>
      <c r="T57" s="67"/>
      <c r="U57" s="67"/>
      <c r="V57" s="145"/>
    </row>
    <row r="58" spans="2:22" ht="17.25" customHeight="1">
      <c r="B58" s="161" t="str">
        <f>"V."&amp;A52&amp;"/"&amp;A54&amp;"         3./4. Pl."</f>
        <v>V.e/f         3./4. Pl.</v>
      </c>
      <c r="C58" s="138" t="str">
        <f>IF(M58="","",IF(J52="","",Sonntag!H61)&amp;" : "&amp;IF(J54="","",Sonntag!L61))</f>
        <v>VfL Waiblingen : TV Hemer </v>
      </c>
      <c r="D58" s="126"/>
      <c r="E58" s="127"/>
      <c r="F58" s="126"/>
      <c r="G58" s="126"/>
      <c r="H58" s="126"/>
      <c r="I58" s="119"/>
      <c r="J58" s="128">
        <f>IF(Sonntag!Q61="","",Sonntag!Q61)</f>
        <v>31</v>
      </c>
      <c r="K58" s="129" t="s">
        <v>23</v>
      </c>
      <c r="L58" s="130">
        <f>IF(Sonntag!S61="","",Sonntag!S61)</f>
        <v>41</v>
      </c>
      <c r="M58" s="36" t="s">
        <v>165</v>
      </c>
      <c r="O58" s="147">
        <v>10</v>
      </c>
      <c r="P58" s="148" t="str">
        <f>" "&amp;IF(J44="","",IF(Sonntag!Q35&lt;Sonntag!S35,Sonntag!H35,Sonntag!L35))</f>
        <v> TSV Marienfelde</v>
      </c>
      <c r="Q58" s="149"/>
      <c r="R58" s="149"/>
      <c r="S58" s="149"/>
      <c r="T58" s="149"/>
      <c r="U58" s="149"/>
      <c r="V58" s="150"/>
    </row>
    <row r="59" spans="2:13" ht="18" customHeight="1">
      <c r="B59" s="157" t="s">
        <v>35</v>
      </c>
      <c r="C59" s="31"/>
      <c r="D59" s="133"/>
      <c r="E59" s="133"/>
      <c r="F59" s="133"/>
      <c r="G59" s="31"/>
      <c r="H59" s="151"/>
      <c r="I59" s="31"/>
      <c r="J59" s="135"/>
      <c r="L59" s="136"/>
      <c r="M59" s="36"/>
    </row>
    <row r="60" spans="2:13" ht="17.25" customHeight="1">
      <c r="B60" s="161" t="str">
        <f>"S."&amp;A52&amp;"/"&amp;A54&amp;"         1./2. Pl."</f>
        <v>S.e/f         1./2. Pl.</v>
      </c>
      <c r="C60" s="138" t="str">
        <f>IF(M60="","",IF(J52="","",Sonntag!H65)&amp;" : "&amp;IF(J54="","",Sonntag!L65))</f>
        <v>MTV Markoldendorf : Vegesacker TV</v>
      </c>
      <c r="D60" s="137"/>
      <c r="E60" s="152"/>
      <c r="F60" s="137"/>
      <c r="G60" s="126"/>
      <c r="H60" s="126"/>
      <c r="I60" s="119"/>
      <c r="J60" s="128">
        <f>IF(Sonntag!Q65="","",Sonntag!Q65)</f>
        <v>36</v>
      </c>
      <c r="K60" s="129" t="s">
        <v>23</v>
      </c>
      <c r="L60" s="130">
        <f>IF(Sonntag!S65="","",Sonntag!S65)</f>
        <v>47</v>
      </c>
      <c r="M60" s="36" t="s">
        <v>165</v>
      </c>
    </row>
  </sheetData>
  <printOptions horizontalCentered="1" verticalCentered="1"/>
  <pageMargins left="0.35433070866141736" right="0.35433070866141736" top="0.1968503937007874" bottom="0.3937007874015748" header="0.5118110236220472" footer="0.5118110236220472"/>
  <pageSetup horizontalDpi="300" verticalDpi="300" orientation="portrait" paperSize="9" r:id="rId3"/>
  <headerFooter alignWithMargins="0">
    <oddFooter>&amp;R&amp;6&amp;D; &amp;F;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="75" zoomScaleNormal="75" workbookViewId="0" topLeftCell="A7">
      <selection activeCell="C50" sqref="C50"/>
    </sheetView>
  </sheetViews>
  <sheetFormatPr defaultColWidth="11.421875" defaultRowHeight="12.75" outlineLevelRow="1"/>
  <cols>
    <col min="1" max="1" width="2.00390625" style="28" customWidth="1"/>
    <col min="2" max="2" width="6.8515625" style="28" customWidth="1"/>
    <col min="3" max="3" width="24.7109375" style="28" customWidth="1"/>
    <col min="4" max="4" width="4.00390625" style="28" customWidth="1"/>
    <col min="5" max="5" width="1.7109375" style="28" customWidth="1"/>
    <col min="6" max="7" width="4.00390625" style="28" customWidth="1"/>
    <col min="8" max="8" width="1.7109375" style="28" customWidth="1"/>
    <col min="9" max="10" width="4.00390625" style="28" customWidth="1"/>
    <col min="11" max="11" width="1.7109375" style="28" customWidth="1"/>
    <col min="12" max="13" width="4.00390625" style="28" customWidth="1"/>
    <col min="14" max="14" width="1.7109375" style="28" customWidth="1"/>
    <col min="15" max="16" width="4.00390625" style="28" customWidth="1"/>
    <col min="17" max="17" width="1.7109375" style="28" customWidth="1"/>
    <col min="18" max="19" width="4.00390625" style="28" customWidth="1"/>
    <col min="20" max="20" width="1.7109375" style="28" customWidth="1"/>
    <col min="21" max="21" width="4.00390625" style="28" customWidth="1"/>
    <col min="22" max="22" width="4.7109375" style="28" customWidth="1"/>
    <col min="23" max="23" width="6.57421875" style="28" hidden="1" customWidth="1"/>
    <col min="24" max="24" width="4.00390625" style="28" customWidth="1"/>
    <col min="25" max="25" width="4.8515625" style="28" customWidth="1"/>
    <col min="26" max="26" width="1.7109375" style="28" customWidth="1"/>
    <col min="27" max="28" width="4.00390625" style="28" customWidth="1"/>
    <col min="29" max="29" width="1.7109375" style="28" customWidth="1"/>
    <col min="30" max="30" width="4.00390625" style="28" customWidth="1"/>
    <col min="31" max="16384" width="11.421875" style="28" customWidth="1"/>
  </cols>
  <sheetData>
    <row r="1" spans="1:22" s="30" customFormat="1" ht="24.75" customHeight="1">
      <c r="A1" s="153"/>
      <c r="B1" s="61" t="str">
        <f>+Daten!A1&amp;" "&amp;Daten!B1&amp;" "&amp;Daten!I1</f>
        <v>44. Deutsche Prellball Meisterschaften der Jugend 2007</v>
      </c>
      <c r="C1" s="165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2:22" ht="21.75" customHeight="1">
      <c r="B2" s="63" t="s">
        <v>20</v>
      </c>
      <c r="C2" s="64"/>
      <c r="D2" s="65"/>
      <c r="E2" s="66"/>
      <c r="F2" s="65"/>
      <c r="G2" s="67"/>
      <c r="H2" s="67"/>
      <c r="I2" s="67"/>
      <c r="J2" s="67"/>
      <c r="K2" s="67"/>
      <c r="L2" s="67"/>
      <c r="M2" s="67"/>
      <c r="N2" s="67"/>
      <c r="O2" s="63" t="str">
        <f>+Daten!I12</f>
        <v>männl. Jugend 15-18</v>
      </c>
      <c r="P2" s="68"/>
      <c r="Q2" s="68"/>
      <c r="R2" s="68"/>
      <c r="S2" s="69"/>
      <c r="T2" s="69"/>
      <c r="U2" s="69"/>
      <c r="V2" s="64"/>
    </row>
    <row r="3" spans="2:22" ht="6.75" customHeight="1">
      <c r="B3" s="70"/>
      <c r="C3" s="67"/>
      <c r="D3" s="65"/>
      <c r="E3" s="66"/>
      <c r="F3" s="65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67"/>
      <c r="T3" s="67"/>
      <c r="U3" s="67"/>
      <c r="V3" s="67"/>
    </row>
    <row r="4" spans="2:29" ht="12.75" customHeight="1">
      <c r="B4" s="71"/>
      <c r="C4" s="72" t="str">
        <f>+Daten!I13</f>
        <v>Gruppe G</v>
      </c>
      <c r="D4" s="185"/>
      <c r="E4" s="181" t="str">
        <f>+C5</f>
        <v>TV Zeilhard</v>
      </c>
      <c r="F4" s="182"/>
      <c r="G4" s="183"/>
      <c r="H4" s="181" t="str">
        <f>+C7</f>
        <v>TV Kierdorf</v>
      </c>
      <c r="I4" s="184"/>
      <c r="J4" s="183"/>
      <c r="K4" s="181" t="str">
        <f>+C9</f>
        <v>SV Weiler</v>
      </c>
      <c r="L4" s="184"/>
      <c r="M4" s="183"/>
      <c r="N4" s="181" t="str">
        <f>+C11</f>
        <v>TV Huchenfeld</v>
      </c>
      <c r="O4" s="184"/>
      <c r="P4" s="183"/>
      <c r="Q4" s="181" t="str">
        <f>+C13</f>
        <v>TuS Aschen-Strang</v>
      </c>
      <c r="R4" s="184"/>
      <c r="S4" s="74"/>
      <c r="T4" s="76" t="s">
        <v>21</v>
      </c>
      <c r="U4" s="75"/>
      <c r="V4" s="77" t="s">
        <v>22</v>
      </c>
      <c r="AC4" s="78"/>
    </row>
    <row r="5" spans="2:28" ht="15" customHeight="1">
      <c r="B5" s="79" t="str">
        <f>IF(Daten!H14="","",Daten!H14)</f>
        <v>W2</v>
      </c>
      <c r="C5" s="80" t="str">
        <f>IF(Daten!I14="","",Daten!I14)</f>
        <v>TV Zeilhard</v>
      </c>
      <c r="D5" s="81"/>
      <c r="E5" s="82"/>
      <c r="F5" s="83"/>
      <c r="G5" s="84">
        <f>IF(Samstag!$Q81="","",Samstag!$Q81)</f>
        <v>38</v>
      </c>
      <c r="H5" s="85" t="s">
        <v>23</v>
      </c>
      <c r="I5" s="86">
        <f>IF(Samstag!$S81="","",Samstag!$S81)</f>
        <v>39</v>
      </c>
      <c r="J5" s="84">
        <f>IF(Samstag!$Q93="","",Samstag!$Q93)</f>
        <v>52</v>
      </c>
      <c r="K5" s="85" t="s">
        <v>23</v>
      </c>
      <c r="L5" s="86">
        <f>IF(Samstag!$S93="","",Samstag!$S93)</f>
        <v>31</v>
      </c>
      <c r="M5" s="84">
        <f>IF(Samstag!$Q105="","",Samstag!$Q105)</f>
        <v>41</v>
      </c>
      <c r="N5" s="85" t="s">
        <v>23</v>
      </c>
      <c r="O5" s="86">
        <f>IF(Samstag!$S105="","",Samstag!$S105)</f>
        <v>43</v>
      </c>
      <c r="P5" s="84">
        <f>IF(Samstag!$Q117="","",Samstag!$Q117)</f>
        <v>37</v>
      </c>
      <c r="Q5" s="85" t="s">
        <v>23</v>
      </c>
      <c r="R5" s="86">
        <f>IF(Samstag!$S117="","",Samstag!$S117)</f>
        <v>38</v>
      </c>
      <c r="S5" s="84">
        <f>IF(X6="","",SUM(D5,G5,J5,M5,P5))</f>
        <v>168</v>
      </c>
      <c r="T5" s="85" t="s">
        <v>23</v>
      </c>
      <c r="U5" s="86">
        <f>IF(X6="","",SUM(F5,I5,L5,O5,R5))</f>
        <v>151</v>
      </c>
      <c r="V5" s="97">
        <f>IF(X5="","",RANK(W6,($W$6,$W$8,$W$10,$W$12,$W$14),0))</f>
        <v>4</v>
      </c>
      <c r="X5" s="34" t="s">
        <v>165</v>
      </c>
      <c r="AA5" s="28">
        <v>1</v>
      </c>
      <c r="AB5" s="160" t="str">
        <f>IF(V5="","",IF($V$5=1,$C$5,IF($V$7=1,$C$7,IF($V$9=1,$C$9,IF($V$11=1,$C$11,IF($V$13=1,$C$13,0))))))</f>
        <v>TuS Aschen-Strang</v>
      </c>
    </row>
    <row r="6" spans="2:28" ht="10.5" customHeight="1">
      <c r="B6" s="88"/>
      <c r="C6" s="89"/>
      <c r="D6" s="90"/>
      <c r="E6" s="91"/>
      <c r="F6" s="92"/>
      <c r="G6" s="93">
        <f>IF(G5="","",IF(G5&gt;I5,2,IF(G5&lt;I5,0,1)))</f>
        <v>0</v>
      </c>
      <c r="H6" s="51" t="s">
        <v>24</v>
      </c>
      <c r="I6" s="94">
        <f>IF(I5="","",IF(I5&gt;G5,2,IF(I5&lt;G5,0,1)))</f>
        <v>2</v>
      </c>
      <c r="J6" s="93">
        <f>IF(J5="","",IF(J5&gt;L5,2,IF(J5&lt;L5,0,1)))</f>
        <v>2</v>
      </c>
      <c r="K6" s="51" t="s">
        <v>24</v>
      </c>
      <c r="L6" s="94">
        <f>IF(L5="","",IF(L5&gt;J5,2,IF(L5&lt;J5,0,1)))</f>
        <v>0</v>
      </c>
      <c r="M6" s="93">
        <f>IF(M5="","",IF(M5&gt;O5,2,IF(M5&lt;O5,0,1)))</f>
        <v>0</v>
      </c>
      <c r="N6" s="51" t="s">
        <v>24</v>
      </c>
      <c r="O6" s="94">
        <f>IF(O5="","",IF(O5&gt;M5,2,IF(O5&lt;M5,0,1)))</f>
        <v>2</v>
      </c>
      <c r="P6" s="93">
        <f>IF(P5="","",IF(P5&gt;R5,2,IF(P5&lt;R5,0,1)))</f>
        <v>0</v>
      </c>
      <c r="Q6" s="51" t="s">
        <v>24</v>
      </c>
      <c r="R6" s="94">
        <f>IF(R5="","",IF(R5&gt;P5,2,IF(R5&lt;P5,0,1)))</f>
        <v>2</v>
      </c>
      <c r="S6" s="93">
        <f>IF(X6="","",SUM(D6,G6,J6,M6,P6))</f>
        <v>2</v>
      </c>
      <c r="T6" s="51" t="s">
        <v>24</v>
      </c>
      <c r="U6" s="94">
        <f>IF(X6="","",SUM(F6,I6,L6,O6,R6))</f>
        <v>6</v>
      </c>
      <c r="V6" s="95"/>
      <c r="W6" s="96">
        <f>+(S6-U6)+S5/U5+S6</f>
        <v>-0.8874172185430464</v>
      </c>
      <c r="X6" s="34" t="s">
        <v>165</v>
      </c>
      <c r="AB6" s="160"/>
    </row>
    <row r="7" spans="2:28" ht="15" customHeight="1">
      <c r="B7" s="79" t="str">
        <f>IF(Daten!H15="","",Daten!H15)</f>
        <v>W4</v>
      </c>
      <c r="C7" s="80" t="str">
        <f>IF(Daten!I15="","",Daten!I15)</f>
        <v>TV Kierdorf</v>
      </c>
      <c r="D7" s="84">
        <f>IF(I5="","",I5)</f>
        <v>39</v>
      </c>
      <c r="E7" s="85" t="s">
        <v>23</v>
      </c>
      <c r="F7" s="86">
        <f>IF(G5="","",G5)</f>
        <v>38</v>
      </c>
      <c r="G7" s="81"/>
      <c r="H7" s="82"/>
      <c r="I7" s="83"/>
      <c r="J7" s="84">
        <f>IF(Samstag!$Q101="","",Samstag!$Q101)</f>
        <v>37</v>
      </c>
      <c r="K7" s="85" t="s">
        <v>23</v>
      </c>
      <c r="L7" s="86">
        <f>IF(Samstag!$S101="","",Samstag!$S101)</f>
        <v>34</v>
      </c>
      <c r="M7" s="84">
        <f>IF(Samstag!$Q113="","",Samstag!$Q113)</f>
        <v>34</v>
      </c>
      <c r="N7" s="85" t="s">
        <v>23</v>
      </c>
      <c r="O7" s="86">
        <f>IF(Samstag!$S113="","",Samstag!$S113)</f>
        <v>36</v>
      </c>
      <c r="P7" s="84">
        <f>IF(Samstag!$Q89="","",Samstag!$Q89)</f>
        <v>33</v>
      </c>
      <c r="Q7" s="85" t="s">
        <v>23</v>
      </c>
      <c r="R7" s="86">
        <f>IF(Samstag!$S89="","",Samstag!$S89)</f>
        <v>32</v>
      </c>
      <c r="S7" s="84">
        <f>IF(X8="","",SUM(D7,G7,J7,M7,P7))</f>
        <v>143</v>
      </c>
      <c r="T7" s="85" t="s">
        <v>23</v>
      </c>
      <c r="U7" s="86">
        <f>IF(X8="","",SUM(F7,I7,L7,O7,R7))</f>
        <v>140</v>
      </c>
      <c r="V7" s="97">
        <v>2</v>
      </c>
      <c r="X7" s="34" t="s">
        <v>165</v>
      </c>
      <c r="AA7" s="28">
        <v>2</v>
      </c>
      <c r="AB7" s="160" t="str">
        <f>IF(V7="","",IF($V$5=2,$C$5,IF($V$7=2,$C$7,IF($V$9=2,$C$9,IF($V$11=2,$C$11,IF($V$13=2,$C$13,0))))))</f>
        <v>TV Kierdorf</v>
      </c>
    </row>
    <row r="8" spans="2:28" ht="10.5" customHeight="1">
      <c r="B8" s="88"/>
      <c r="C8" s="89"/>
      <c r="D8" s="93">
        <f>IF(D7="","",IF(D7&gt;F7,2,IF(D7&lt;F7,0,1)))</f>
        <v>2</v>
      </c>
      <c r="E8" s="51" t="s">
        <v>24</v>
      </c>
      <c r="F8" s="94">
        <f>IF(F7="","",IF(F7&gt;D7,2,IF(F7&lt;D7,0,1)))</f>
        <v>0</v>
      </c>
      <c r="G8" s="90"/>
      <c r="H8" s="91"/>
      <c r="I8" s="92"/>
      <c r="J8" s="93">
        <f>IF(J7="","",IF(J7&gt;L7,2,IF(J7&lt;L7,0,1)))</f>
        <v>2</v>
      </c>
      <c r="K8" s="51" t="s">
        <v>24</v>
      </c>
      <c r="L8" s="94">
        <f>IF(L7="","",IF(L7&gt;J7,2,IF(L7&lt;J7,0,1)))</f>
        <v>0</v>
      </c>
      <c r="M8" s="93">
        <f>IF(M7="","",IF(M7&gt;O7,2,IF(M7&lt;O7,0,1)))</f>
        <v>0</v>
      </c>
      <c r="N8" s="51" t="s">
        <v>24</v>
      </c>
      <c r="O8" s="94">
        <f>IF(O7="","",IF(O7&gt;M7,2,IF(O7&lt;M7,0,1)))</f>
        <v>2</v>
      </c>
      <c r="P8" s="93">
        <f>IF(P7="","",IF(P7&gt;R7,2,IF(P7&lt;R7,0,1)))</f>
        <v>2</v>
      </c>
      <c r="Q8" s="51" t="s">
        <v>24</v>
      </c>
      <c r="R8" s="94">
        <f>IF(R7="","",IF(R7&gt;P7,2,IF(R7&lt;P7,0,1)))</f>
        <v>0</v>
      </c>
      <c r="S8" s="93">
        <f>IF(X8="","",SUM(D8,G8,J8,M8,P8))</f>
        <v>6</v>
      </c>
      <c r="T8" s="51" t="s">
        <v>24</v>
      </c>
      <c r="U8" s="94">
        <f>IF(X8="","",SUM(F8,I8,L8,O8,R8))</f>
        <v>2</v>
      </c>
      <c r="V8" s="95"/>
      <c r="W8" s="96">
        <f>+(S8-U8)+S7/U7+S8</f>
        <v>11.021428571428572</v>
      </c>
      <c r="X8" s="34" t="s">
        <v>165</v>
      </c>
      <c r="AB8" s="160"/>
    </row>
    <row r="9" spans="2:28" ht="15" customHeight="1">
      <c r="B9" s="79" t="str">
        <f>IF(Daten!H16="","",Daten!H16)</f>
        <v>S3</v>
      </c>
      <c r="C9" s="80" t="str">
        <f>IF(Daten!I16="","",Daten!I16)</f>
        <v>SV Weiler</v>
      </c>
      <c r="D9" s="84">
        <f>IF(L5="","",L5)</f>
        <v>31</v>
      </c>
      <c r="E9" s="85" t="s">
        <v>23</v>
      </c>
      <c r="F9" s="86">
        <f>IF(J5="","",J5)</f>
        <v>52</v>
      </c>
      <c r="G9" s="84">
        <f>IF(L7="","",L7)</f>
        <v>34</v>
      </c>
      <c r="H9" s="85" t="s">
        <v>23</v>
      </c>
      <c r="I9" s="86">
        <f>IF(J7="","",J7)</f>
        <v>37</v>
      </c>
      <c r="J9" s="81"/>
      <c r="K9" s="82"/>
      <c r="L9" s="83"/>
      <c r="M9" s="84">
        <f>IF(Samstag!$Q85="","",Samstag!$Q85)</f>
        <v>38</v>
      </c>
      <c r="N9" s="85" t="s">
        <v>23</v>
      </c>
      <c r="O9" s="86">
        <f>IF(Samstag!$S85="","",Samstag!$S85)</f>
        <v>53</v>
      </c>
      <c r="P9" s="84">
        <f>IF(Samstag!$Q109="","",Samstag!$Q109)</f>
        <v>30</v>
      </c>
      <c r="Q9" s="85" t="s">
        <v>23</v>
      </c>
      <c r="R9" s="86">
        <f>IF(Samstag!$S109="","",Samstag!$S109)</f>
        <v>47</v>
      </c>
      <c r="S9" s="84">
        <f>IF(X10="","",SUM(D9,G9,J9,M9,P9))</f>
        <v>133</v>
      </c>
      <c r="T9" s="85" t="s">
        <v>23</v>
      </c>
      <c r="U9" s="86">
        <f>IF(X10="","",SUM(F9,I9,L9,O9,R9))</f>
        <v>189</v>
      </c>
      <c r="V9" s="97">
        <f>IF(X9="","",RANK(W10,($W$6,$W$8,$W$10,$W$12,$W$14),0))</f>
        <v>5</v>
      </c>
      <c r="X9" s="34" t="s">
        <v>165</v>
      </c>
      <c r="AA9" s="28">
        <v>3</v>
      </c>
      <c r="AB9" s="160" t="str">
        <f>IF(V9="","",IF($V$5=3,$C$5,IF($V$7=3,$C$7,IF($V$9=3,$C$9,IF($V$11=3,$C$11,IF($V$13=3,$C$13,0))))))</f>
        <v>TV Huchenfeld</v>
      </c>
    </row>
    <row r="10" spans="2:28" ht="10.5" customHeight="1">
      <c r="B10" s="98"/>
      <c r="C10" s="89"/>
      <c r="D10" s="93">
        <f>IF(D9="","",IF(D9&gt;F9,2,IF(D9&lt;F9,0,1)))</f>
        <v>0</v>
      </c>
      <c r="E10" s="51" t="s">
        <v>24</v>
      </c>
      <c r="F10" s="94">
        <f>IF(F9="","",IF(F9&gt;D9,2,IF(F9&lt;D9,0,1)))</f>
        <v>2</v>
      </c>
      <c r="G10" s="93">
        <f>IF(G9="","",IF(G9&gt;I9,2,IF(G9&lt;I9,0,1)))</f>
        <v>0</v>
      </c>
      <c r="H10" s="51" t="s">
        <v>24</v>
      </c>
      <c r="I10" s="94">
        <f>IF(I9="","",IF(I9&gt;G9,2,IF(I9&lt;G9,0,1)))</f>
        <v>2</v>
      </c>
      <c r="J10" s="90"/>
      <c r="K10" s="91"/>
      <c r="L10" s="92"/>
      <c r="M10" s="93">
        <f>IF(M9="","",IF(M9&gt;O9,2,IF(M9&lt;O9,0,1)))</f>
        <v>0</v>
      </c>
      <c r="N10" s="51" t="s">
        <v>24</v>
      </c>
      <c r="O10" s="94">
        <f>IF(O9="","",IF(O9&gt;M9,2,IF(O9&lt;M9,0,1)))</f>
        <v>2</v>
      </c>
      <c r="P10" s="93">
        <f>IF(P9="","",IF(P9&gt;R9,2,IF(P9&lt;R9,0,1)))</f>
        <v>0</v>
      </c>
      <c r="Q10" s="51" t="s">
        <v>24</v>
      </c>
      <c r="R10" s="94">
        <f>IF(R9="","",IF(R9&gt;P9,2,IF(R9&lt;P9,0,1)))</f>
        <v>2</v>
      </c>
      <c r="S10" s="93">
        <f>IF(X10="","",SUM(D10,G10,J10,M10,P10))</f>
        <v>0</v>
      </c>
      <c r="T10" s="51" t="s">
        <v>24</v>
      </c>
      <c r="U10" s="94">
        <f>IF(X10="","",SUM(F10,I10,L10,O10,R10))</f>
        <v>8</v>
      </c>
      <c r="V10" s="95"/>
      <c r="W10" s="96">
        <f>+(S10-U10)+S9/U9+S10</f>
        <v>-7.296296296296296</v>
      </c>
      <c r="X10" s="34" t="s">
        <v>165</v>
      </c>
      <c r="AB10" s="160"/>
    </row>
    <row r="11" spans="2:28" ht="15" customHeight="1">
      <c r="B11" s="79" t="str">
        <f>IF(Daten!H17="","",Daten!H17)</f>
        <v>S1</v>
      </c>
      <c r="C11" s="80" t="str">
        <f>IF(Daten!I17="","",Daten!I17)</f>
        <v>TV Huchenfeld</v>
      </c>
      <c r="D11" s="84">
        <f>IF(O5="","",O5)</f>
        <v>43</v>
      </c>
      <c r="E11" s="85" t="s">
        <v>23</v>
      </c>
      <c r="F11" s="86">
        <f>IF(M5="","",M5)</f>
        <v>41</v>
      </c>
      <c r="G11" s="84">
        <f>IF(O7="","",O7)</f>
        <v>36</v>
      </c>
      <c r="H11" s="85" t="s">
        <v>23</v>
      </c>
      <c r="I11" s="86">
        <f>IF(M7="","",M7)</f>
        <v>34</v>
      </c>
      <c r="J11" s="84">
        <f>IF(O9="","",O9)</f>
        <v>53</v>
      </c>
      <c r="K11" s="85" t="s">
        <v>23</v>
      </c>
      <c r="L11" s="86">
        <f>IF(M9="","",M9)</f>
        <v>38</v>
      </c>
      <c r="M11" s="81"/>
      <c r="N11" s="82"/>
      <c r="O11" s="83"/>
      <c r="P11" s="84">
        <f>IF(Samstag!$Q97="","",Samstag!$Q97)</f>
        <v>30</v>
      </c>
      <c r="Q11" s="85" t="s">
        <v>23</v>
      </c>
      <c r="R11" s="86">
        <f>IF(Samstag!$S97="","",Samstag!$S97)</f>
        <v>39</v>
      </c>
      <c r="S11" s="84">
        <f>IF(X12="","",SUM(D11,G11,J11,M11,P11))</f>
        <v>162</v>
      </c>
      <c r="T11" s="85" t="s">
        <v>23</v>
      </c>
      <c r="U11" s="86">
        <f>IF(X12="","",SUM(F11,I11,L11,O11,R11))</f>
        <v>152</v>
      </c>
      <c r="V11" s="97">
        <v>3</v>
      </c>
      <c r="X11" s="34" t="s">
        <v>165</v>
      </c>
      <c r="AA11" s="28">
        <v>4</v>
      </c>
      <c r="AB11" s="160" t="str">
        <f>IF(V11="","",IF($V$5=4,$C$5,IF($V$7=4,$C$7,IF($V$9=4,$C$9,IF($V$11=4,$C$11,IF($V$13=4,$C$13,0))))))</f>
        <v>TV Zeilhard</v>
      </c>
    </row>
    <row r="12" spans="2:28" ht="10.5" customHeight="1">
      <c r="B12" s="98"/>
      <c r="C12" s="89"/>
      <c r="D12" s="93">
        <f>IF(D11="","",IF(D11&gt;F11,2,IF(D11&lt;F11,0,1)))</f>
        <v>2</v>
      </c>
      <c r="E12" s="51" t="s">
        <v>24</v>
      </c>
      <c r="F12" s="94">
        <f>IF(F11="","",IF(F11&gt;D11,2,IF(F11&lt;D11,0,1)))</f>
        <v>0</v>
      </c>
      <c r="G12" s="93">
        <f>IF(G11="","",IF(G11&gt;I11,2,IF(G11&lt;I11,0,1)))</f>
        <v>2</v>
      </c>
      <c r="H12" s="51" t="s">
        <v>24</v>
      </c>
      <c r="I12" s="94">
        <f>IF(I11="","",IF(I11&gt;G11,2,IF(I11&lt;G11,0,1)))</f>
        <v>0</v>
      </c>
      <c r="J12" s="93">
        <f>IF(J11="","",IF(J11&gt;L11,2,IF(J11&lt;L11,0,1)))</f>
        <v>2</v>
      </c>
      <c r="K12" s="51" t="s">
        <v>24</v>
      </c>
      <c r="L12" s="94">
        <f>IF(L11="","",IF(L11&gt;J11,2,IF(L11&lt;J11,0,1)))</f>
        <v>0</v>
      </c>
      <c r="M12" s="90"/>
      <c r="N12" s="91"/>
      <c r="O12" s="92"/>
      <c r="P12" s="93">
        <f>IF(P11="","",IF(P11&gt;R11,2,IF(P11&lt;R11,0,1)))</f>
        <v>0</v>
      </c>
      <c r="Q12" s="51" t="s">
        <v>24</v>
      </c>
      <c r="R12" s="94">
        <f>IF(R11="","",IF(R11&gt;P11,2,IF(R11&lt;P11,0,1)))</f>
        <v>2</v>
      </c>
      <c r="S12" s="93">
        <f>IF(X12="","",SUM(D12,G12,J12,M12,P12))</f>
        <v>6</v>
      </c>
      <c r="T12" s="51" t="s">
        <v>24</v>
      </c>
      <c r="U12" s="94">
        <f>IF(X12="","",SUM(F12,I12,L12,O12,R12))</f>
        <v>2</v>
      </c>
      <c r="V12" s="95"/>
      <c r="W12" s="96">
        <f>+(S12-U12)+S11/U11+S12</f>
        <v>11.06578947368421</v>
      </c>
      <c r="X12" s="34" t="s">
        <v>165</v>
      </c>
      <c r="AB12" s="160"/>
    </row>
    <row r="13" spans="2:28" ht="15" customHeight="1">
      <c r="B13" s="79" t="str">
        <f>IF(Daten!H18="","",Daten!H18)</f>
        <v>N1</v>
      </c>
      <c r="C13" s="80" t="str">
        <f>IF(Daten!I18="","",Daten!I18)</f>
        <v>TuS Aschen-Strang</v>
      </c>
      <c r="D13" s="84">
        <f>IF(R5="","",R5)</f>
        <v>38</v>
      </c>
      <c r="E13" s="85" t="s">
        <v>23</v>
      </c>
      <c r="F13" s="86">
        <f>IF(P5="","",P5)</f>
        <v>37</v>
      </c>
      <c r="G13" s="84">
        <f>IF(R7="","",R7)</f>
        <v>32</v>
      </c>
      <c r="H13" s="85" t="s">
        <v>23</v>
      </c>
      <c r="I13" s="86">
        <f>IF(P7="","",P7)</f>
        <v>33</v>
      </c>
      <c r="J13" s="84">
        <f>IF(R9="","",R9)</f>
        <v>47</v>
      </c>
      <c r="K13" s="85" t="s">
        <v>23</v>
      </c>
      <c r="L13" s="86">
        <f>IF(P9="","",P9)</f>
        <v>30</v>
      </c>
      <c r="M13" s="84">
        <f>IF(R11="","",R11)</f>
        <v>39</v>
      </c>
      <c r="N13" s="85" t="s">
        <v>23</v>
      </c>
      <c r="O13" s="86">
        <f>IF(P11="","",P11)</f>
        <v>30</v>
      </c>
      <c r="P13" s="81"/>
      <c r="Q13" s="82"/>
      <c r="R13" s="83"/>
      <c r="S13" s="84">
        <f>IF(X14="","",SUM(D13,G13,J13,M13,P13))</f>
        <v>156</v>
      </c>
      <c r="T13" s="85" t="s">
        <v>23</v>
      </c>
      <c r="U13" s="86">
        <f>IF(X14="","",SUM(F13,I13,L13,O13,R13))</f>
        <v>130</v>
      </c>
      <c r="V13" s="97">
        <f>IF(X13="","",RANK(W14,($W$6,$W$8,$W$10,$W$12,$W$14),0))</f>
        <v>1</v>
      </c>
      <c r="X13" s="34" t="s">
        <v>165</v>
      </c>
      <c r="AA13" s="28">
        <v>5</v>
      </c>
      <c r="AB13" s="160" t="str">
        <f>IF(V13="","",IF($V$5=5,$C$5,IF($V$7=5,$C$7,IF($V$9=5,$C$9,IF($V$11=5,$C$11,IF($V$13=5,$C$13,0))))))</f>
        <v>SV Weiler</v>
      </c>
    </row>
    <row r="14" spans="2:24" ht="10.5" customHeight="1">
      <c r="B14" s="98"/>
      <c r="C14" s="99"/>
      <c r="D14" s="93">
        <f>IF(D13="","",IF(D13&gt;F13,2,IF(D13&lt;F13,0,1)))</f>
        <v>2</v>
      </c>
      <c r="E14" s="51" t="s">
        <v>24</v>
      </c>
      <c r="F14" s="94">
        <f>IF(F13="","",IF(F13&gt;D13,2,IF(F13&lt;D13,0,1)))</f>
        <v>0</v>
      </c>
      <c r="G14" s="93">
        <f>IF(G13="","",IF(G13&gt;I13,2,IF(G13&lt;I13,0,1)))</f>
        <v>0</v>
      </c>
      <c r="H14" s="51" t="s">
        <v>24</v>
      </c>
      <c r="I14" s="94">
        <f>IF(I13="","",IF(I13&gt;G13,2,IF(I13&lt;G13,0,1)))</f>
        <v>2</v>
      </c>
      <c r="J14" s="93">
        <f>IF(J13="","",IF(J13&gt;L13,2,IF(J13&lt;L13,0,1)))</f>
        <v>2</v>
      </c>
      <c r="K14" s="51" t="s">
        <v>24</v>
      </c>
      <c r="L14" s="94">
        <f>IF(L13="","",IF(L13&gt;J13,2,IF(L13&lt;J13,0,1)))</f>
        <v>0</v>
      </c>
      <c r="M14" s="93">
        <f>IF(M13="","",IF(M13&gt;O13,2,IF(M13&lt;O13,0,1)))</f>
        <v>2</v>
      </c>
      <c r="N14" s="51" t="s">
        <v>24</v>
      </c>
      <c r="O14" s="94">
        <f>IF(O13="","",IF(O13&gt;M13,2,IF(O13&lt;M13,0,1)))</f>
        <v>0</v>
      </c>
      <c r="P14" s="90"/>
      <c r="Q14" s="91"/>
      <c r="R14" s="92"/>
      <c r="S14" s="93">
        <f>IF(X14="","",SUM(D14,G14,J14,M14,P14))</f>
        <v>6</v>
      </c>
      <c r="T14" s="51" t="s">
        <v>24</v>
      </c>
      <c r="U14" s="94">
        <f>IF(X14="","",SUM(F14,I14,L14,O14,R14))</f>
        <v>2</v>
      </c>
      <c r="V14" s="95"/>
      <c r="W14" s="96">
        <f>+(S14-U14)+S13/U13+S14</f>
        <v>11.2</v>
      </c>
      <c r="X14" s="34" t="s">
        <v>165</v>
      </c>
    </row>
    <row r="15" spans="2:24" ht="9.75" customHeight="1">
      <c r="B15" s="100"/>
      <c r="C15" s="100"/>
      <c r="D15" s="101"/>
      <c r="E15" s="85"/>
      <c r="F15" s="102"/>
      <c r="G15" s="101"/>
      <c r="H15" s="85"/>
      <c r="I15" s="102"/>
      <c r="J15" s="101"/>
      <c r="K15" s="85"/>
      <c r="L15" s="102"/>
      <c r="M15" s="101"/>
      <c r="N15" s="85"/>
      <c r="O15" s="102"/>
      <c r="P15" s="103"/>
      <c r="Q15" s="103"/>
      <c r="R15" s="103"/>
      <c r="S15" s="101"/>
      <c r="T15" s="85"/>
      <c r="U15" s="102"/>
      <c r="V15" s="104"/>
      <c r="W15" s="96"/>
      <c r="X15" s="34"/>
    </row>
    <row r="16" spans="2:24" ht="9.75" customHeight="1" outlineLevel="1">
      <c r="B16" s="105" t="s">
        <v>25</v>
      </c>
      <c r="C16" s="106" t="str">
        <f>+C5</f>
        <v>TV Zeilhard</v>
      </c>
      <c r="D16" s="107"/>
      <c r="E16" s="108"/>
      <c r="F16" s="109"/>
      <c r="G16" s="110"/>
      <c r="H16" s="111" t="s">
        <v>23</v>
      </c>
      <c r="I16" s="112"/>
      <c r="J16" s="110"/>
      <c r="K16" s="111" t="s">
        <v>23</v>
      </c>
      <c r="L16" s="112"/>
      <c r="M16" s="110"/>
      <c r="N16" s="111" t="s">
        <v>23</v>
      </c>
      <c r="O16" s="112"/>
      <c r="P16" s="113"/>
      <c r="Q16" s="111" t="s">
        <v>23</v>
      </c>
      <c r="R16" s="114"/>
      <c r="S16" s="55"/>
      <c r="T16" s="115"/>
      <c r="U16" s="116"/>
      <c r="V16" s="31"/>
      <c r="W16" s="96"/>
      <c r="X16" s="34"/>
    </row>
    <row r="17" spans="2:24" ht="9.75" customHeight="1" outlineLevel="1">
      <c r="B17" s="117"/>
      <c r="C17" s="106" t="str">
        <f>+C7</f>
        <v>TV Kierdorf</v>
      </c>
      <c r="D17" s="110">
        <f>IF(I16="","",I16)</f>
      </c>
      <c r="E17" s="111" t="s">
        <v>23</v>
      </c>
      <c r="F17" s="112">
        <f>IF(G16="","",G16)</f>
      </c>
      <c r="G17" s="107"/>
      <c r="H17" s="108"/>
      <c r="I17" s="109"/>
      <c r="J17" s="110"/>
      <c r="K17" s="111" t="s">
        <v>23</v>
      </c>
      <c r="L17" s="112"/>
      <c r="M17" s="110"/>
      <c r="N17" s="111" t="s">
        <v>23</v>
      </c>
      <c r="O17" s="112"/>
      <c r="P17" s="113"/>
      <c r="Q17" s="111" t="s">
        <v>23</v>
      </c>
      <c r="R17" s="114"/>
      <c r="S17" s="55"/>
      <c r="T17" s="115"/>
      <c r="U17" s="116"/>
      <c r="V17" s="31"/>
      <c r="W17" s="96"/>
      <c r="X17" s="34"/>
    </row>
    <row r="18" spans="2:24" ht="9.75" customHeight="1" outlineLevel="1">
      <c r="B18" s="117"/>
      <c r="C18" s="106" t="str">
        <f>+C9</f>
        <v>SV Weiler</v>
      </c>
      <c r="D18" s="110">
        <f>IF(L16="","",L16)</f>
      </c>
      <c r="E18" s="111" t="s">
        <v>23</v>
      </c>
      <c r="F18" s="112">
        <f>IF(J16="","",J16)</f>
      </c>
      <c r="G18" s="110">
        <f>IF(L17="","",L17)</f>
      </c>
      <c r="H18" s="111" t="s">
        <v>23</v>
      </c>
      <c r="I18" s="112">
        <f>IF(J17="","",J17)</f>
      </c>
      <c r="J18" s="107"/>
      <c r="K18" s="108"/>
      <c r="L18" s="109"/>
      <c r="M18" s="110"/>
      <c r="N18" s="111" t="s">
        <v>23</v>
      </c>
      <c r="O18" s="112"/>
      <c r="P18" s="113"/>
      <c r="Q18" s="111" t="s">
        <v>23</v>
      </c>
      <c r="R18" s="114"/>
      <c r="S18" s="55"/>
      <c r="T18" s="115"/>
      <c r="U18" s="116"/>
      <c r="V18" s="31"/>
      <c r="W18" s="96"/>
      <c r="X18" s="34"/>
    </row>
    <row r="19" spans="2:24" ht="9.75" customHeight="1" outlineLevel="1">
      <c r="B19" s="117"/>
      <c r="C19" s="106" t="str">
        <f>+C11</f>
        <v>TV Huchenfeld</v>
      </c>
      <c r="D19" s="110">
        <f>IF(O16="","",O16)</f>
      </c>
      <c r="E19" s="111" t="s">
        <v>23</v>
      </c>
      <c r="F19" s="112">
        <f>IF(M16="","",M16)</f>
      </c>
      <c r="G19" s="110">
        <f>IF(O17="","",O17)</f>
      </c>
      <c r="H19" s="111" t="s">
        <v>23</v>
      </c>
      <c r="I19" s="112">
        <f>IF(M17="","",M17)</f>
      </c>
      <c r="J19" s="110">
        <f>IF(O18="","",O18)</f>
      </c>
      <c r="K19" s="111" t="s">
        <v>23</v>
      </c>
      <c r="L19" s="112">
        <f>IF(M18="","",M18)</f>
      </c>
      <c r="M19" s="107"/>
      <c r="N19" s="108"/>
      <c r="O19" s="109"/>
      <c r="P19" s="113"/>
      <c r="Q19" s="111" t="s">
        <v>23</v>
      </c>
      <c r="R19" s="114"/>
      <c r="S19" s="55"/>
      <c r="T19" s="115"/>
      <c r="U19" s="116"/>
      <c r="V19" s="31"/>
      <c r="W19" s="96"/>
      <c r="X19" s="34"/>
    </row>
    <row r="20" spans="2:24" ht="9.75" customHeight="1" outlineLevel="1">
      <c r="B20" s="117"/>
      <c r="C20" s="106" t="str">
        <f>+C13</f>
        <v>TuS Aschen-Strang</v>
      </c>
      <c r="D20" s="110">
        <f>IF(R16="","",R16)</f>
      </c>
      <c r="E20" s="111" t="s">
        <v>23</v>
      </c>
      <c r="F20" s="112">
        <f>IF(P16="","",P16)</f>
      </c>
      <c r="G20" s="110">
        <f>IF(R17="","",R17)</f>
      </c>
      <c r="H20" s="111" t="s">
        <v>23</v>
      </c>
      <c r="I20" s="112">
        <f>IF(P17="","",P17)</f>
      </c>
      <c r="J20" s="110">
        <f>IF(R18="","",R18)</f>
      </c>
      <c r="K20" s="111" t="s">
        <v>23</v>
      </c>
      <c r="L20" s="112">
        <f>IF(P18="","",P18)</f>
      </c>
      <c r="M20" s="110">
        <f>IF(R19="","",R19)</f>
      </c>
      <c r="N20" s="111" t="s">
        <v>23</v>
      </c>
      <c r="O20" s="112">
        <f>IF(P19="","",P19)</f>
      </c>
      <c r="P20" s="107"/>
      <c r="Q20" s="108"/>
      <c r="R20" s="109"/>
      <c r="S20" s="55"/>
      <c r="T20" s="115"/>
      <c r="U20" s="116"/>
      <c r="V20" s="31"/>
      <c r="W20" s="96"/>
      <c r="X20" s="34"/>
    </row>
    <row r="22" spans="2:22" ht="12.75" customHeight="1">
      <c r="B22" s="118"/>
      <c r="C22" s="119" t="str">
        <f>+Daten!L13</f>
        <v>Gruppe H</v>
      </c>
      <c r="D22" s="183"/>
      <c r="E22" s="181" t="str">
        <f>+C23</f>
        <v>Linden Dahlhauser TV</v>
      </c>
      <c r="F22" s="184"/>
      <c r="G22" s="183"/>
      <c r="H22" s="181" t="str">
        <f>+C25</f>
        <v>TV Berkenbaum</v>
      </c>
      <c r="I22" s="184"/>
      <c r="J22" s="183"/>
      <c r="K22" s="181" t="str">
        <f>+C27</f>
        <v>TSV Burgdorf</v>
      </c>
      <c r="L22" s="184"/>
      <c r="M22" s="183"/>
      <c r="N22" s="181" t="str">
        <f>+C29</f>
        <v>MTV Jahn Schladen</v>
      </c>
      <c r="O22" s="184"/>
      <c r="P22" s="183"/>
      <c r="Q22" s="181" t="str">
        <f>+C31</f>
        <v>VfL Waiblingen</v>
      </c>
      <c r="R22" s="184"/>
      <c r="S22" s="74"/>
      <c r="T22" s="76" t="s">
        <v>21</v>
      </c>
      <c r="U22" s="75"/>
      <c r="V22" s="77" t="s">
        <v>22</v>
      </c>
    </row>
    <row r="23" spans="2:28" ht="15" customHeight="1">
      <c r="B23" s="79" t="str">
        <f>IF(Daten!K14="","",Daten!K14)</f>
        <v>W3</v>
      </c>
      <c r="C23" s="80" t="str">
        <f>IF(Daten!L14="","",Daten!L14)</f>
        <v>Linden Dahlhauser TV</v>
      </c>
      <c r="D23" s="81"/>
      <c r="E23" s="82"/>
      <c r="F23" s="83"/>
      <c r="G23" s="84">
        <f>IF(Samstag!$Q82="","",Samstag!$Q82)</f>
        <v>40</v>
      </c>
      <c r="H23" s="85" t="s">
        <v>23</v>
      </c>
      <c r="I23" s="86">
        <f>IF(Samstag!$S82="","",Samstag!$S82)</f>
        <v>52</v>
      </c>
      <c r="J23" s="84">
        <f>IF(Samstag!$Q102="","",Samstag!$Q102)</f>
        <v>42</v>
      </c>
      <c r="K23" s="85" t="s">
        <v>23</v>
      </c>
      <c r="L23" s="86">
        <f>IF(Samstag!$S102="","",Samstag!$S102)</f>
        <v>43</v>
      </c>
      <c r="M23" s="84">
        <f>IF(Samstag!$Q114="","",Samstag!$Q114)</f>
        <v>38</v>
      </c>
      <c r="N23" s="85" t="s">
        <v>23</v>
      </c>
      <c r="O23" s="86">
        <f>IF(Samstag!$S114="","",Samstag!$S114)</f>
        <v>47</v>
      </c>
      <c r="P23" s="84">
        <f>IF(Samstag!$Q90="","",Samstag!$Q90)</f>
        <v>47</v>
      </c>
      <c r="Q23" s="85" t="s">
        <v>23</v>
      </c>
      <c r="R23" s="86">
        <f>IF(Samstag!$S90="","",Samstag!$S90)</f>
        <v>36</v>
      </c>
      <c r="S23" s="84">
        <f>IF(X24="","",SUM(D23,G23,J23,M23,P23))</f>
        <v>167</v>
      </c>
      <c r="T23" s="85" t="s">
        <v>23</v>
      </c>
      <c r="U23" s="86">
        <f>IF(X24="","",SUM(F23,I23,L23,O23,R23))</f>
        <v>178</v>
      </c>
      <c r="V23" s="97">
        <f>IF(X23="","",RANK(W24,($W$24,$W$26,$W$28,$W$30,$W$32),0))</f>
        <v>4</v>
      </c>
      <c r="X23" s="34" t="s">
        <v>165</v>
      </c>
      <c r="AA23" s="28">
        <v>1</v>
      </c>
      <c r="AB23" s="28" t="str">
        <f>IF(V23="","",IF($V$23=1,$C$23,IF($V$25=1,$C$25,IF($V$27=1,$C$27,IF($V$29=1,$C$29,IF($V$31=1,$C$31,0))))))</f>
        <v>TV Berkenbaum</v>
      </c>
    </row>
    <row r="24" spans="2:24" ht="10.5" customHeight="1">
      <c r="B24" s="120"/>
      <c r="C24" s="121"/>
      <c r="D24" s="90"/>
      <c r="E24" s="91"/>
      <c r="F24" s="92"/>
      <c r="G24" s="93">
        <f>IF(G23="","",IF(G23&gt;I23,2,IF(G23&lt;I23,0,1)))</f>
        <v>0</v>
      </c>
      <c r="H24" s="51" t="s">
        <v>24</v>
      </c>
      <c r="I24" s="94">
        <f>IF(I23="","",IF(I23&gt;G23,2,IF(I23&lt;G23,0,1)))</f>
        <v>2</v>
      </c>
      <c r="J24" s="93">
        <f>IF(J23="","",IF(J23&gt;L23,2,IF(J23&lt;L23,0,1)))</f>
        <v>0</v>
      </c>
      <c r="K24" s="51" t="s">
        <v>24</v>
      </c>
      <c r="L24" s="94">
        <f>IF(L23="","",IF(L23&gt;J23,2,IF(L23&lt;J23,0,1)))</f>
        <v>2</v>
      </c>
      <c r="M24" s="93">
        <f>IF(M23="","",IF(M23&gt;O23,2,IF(M23&lt;O23,0,1)))</f>
        <v>0</v>
      </c>
      <c r="N24" s="51" t="s">
        <v>24</v>
      </c>
      <c r="O24" s="94">
        <f>IF(O23="","",IF(O23&gt;M23,2,IF(O23&lt;M23,0,1)))</f>
        <v>2</v>
      </c>
      <c r="P24" s="93">
        <f>IF(P23="","",IF(P23&gt;R23,2,IF(P23&lt;R23,0,1)))</f>
        <v>2</v>
      </c>
      <c r="Q24" s="51" t="s">
        <v>24</v>
      </c>
      <c r="R24" s="94">
        <f>IF(R23="","",IF(R23&gt;P23,2,IF(R23&lt;P23,0,1)))</f>
        <v>0</v>
      </c>
      <c r="S24" s="93">
        <f>IF(X24="","",SUM(D24,G24,J24,M24,P24))</f>
        <v>2</v>
      </c>
      <c r="T24" s="51" t="s">
        <v>24</v>
      </c>
      <c r="U24" s="94">
        <f>IF(X24="","",SUM(F24,I24,L24,O24,R24))</f>
        <v>6</v>
      </c>
      <c r="V24" s="95"/>
      <c r="W24" s="96">
        <f>+(S24-U24)+S23/U23+S24</f>
        <v>-1.0617977528089888</v>
      </c>
      <c r="X24" s="34" t="s">
        <v>165</v>
      </c>
    </row>
    <row r="25" spans="2:28" ht="15" customHeight="1">
      <c r="B25" s="79" t="str">
        <f>IF(Daten!K15="","",Daten!K15)</f>
        <v>W1</v>
      </c>
      <c r="C25" s="80" t="str">
        <f>IF(Daten!L15="","",Daten!L15)</f>
        <v>TV Berkenbaum</v>
      </c>
      <c r="D25" s="84">
        <f>IF(I23="","",I23)</f>
        <v>52</v>
      </c>
      <c r="E25" s="85" t="s">
        <v>23</v>
      </c>
      <c r="F25" s="86">
        <f>IF(G23="","",G23)</f>
        <v>40</v>
      </c>
      <c r="G25" s="81"/>
      <c r="H25" s="82"/>
      <c r="I25" s="83"/>
      <c r="J25" s="84">
        <f>IF(Samstag!$Q94="","",Samstag!$Q94)</f>
        <v>40</v>
      </c>
      <c r="K25" s="85" t="s">
        <v>23</v>
      </c>
      <c r="L25" s="86">
        <f>IF(Samstag!$S94="","",Samstag!$S94)</f>
        <v>43</v>
      </c>
      <c r="M25" s="84">
        <f>IF(Samstag!$Q106="","",Samstag!$Q106)</f>
        <v>40</v>
      </c>
      <c r="N25" s="85" t="s">
        <v>23</v>
      </c>
      <c r="O25" s="86">
        <f>IF(Samstag!$S106="","",Samstag!$S106)</f>
        <v>36</v>
      </c>
      <c r="P25" s="84">
        <f>IF(Samstag!$Q118="","",Samstag!$Q118)</f>
        <v>47</v>
      </c>
      <c r="Q25" s="85" t="s">
        <v>23</v>
      </c>
      <c r="R25" s="86">
        <f>IF(Samstag!$S118="","",Samstag!$S118)</f>
        <v>40</v>
      </c>
      <c r="S25" s="84">
        <f>IF(X26="","",SUM(D25,G25,J25,M25,P25))</f>
        <v>179</v>
      </c>
      <c r="T25" s="85" t="s">
        <v>23</v>
      </c>
      <c r="U25" s="86">
        <f>IF(X26="","",SUM(F25,I25,L25,O25,R25))</f>
        <v>159</v>
      </c>
      <c r="V25" s="97">
        <v>1</v>
      </c>
      <c r="X25" s="34" t="s">
        <v>165</v>
      </c>
      <c r="AA25" s="28">
        <v>2</v>
      </c>
      <c r="AB25" s="28" t="str">
        <f>IF(V25="","",IF($V$23=2,$C$23,IF($V$25=2,$C$25,IF($V$27=2,$C$27,IF($V$29=2,$C$29,IF($V$31=2,$C$31,0))))))</f>
        <v>MTV Jahn Schladen</v>
      </c>
    </row>
    <row r="26" spans="2:24" ht="10.5" customHeight="1">
      <c r="B26" s="120"/>
      <c r="C26" s="121"/>
      <c r="D26" s="93">
        <f>IF(D25="","",IF(D25&gt;F25,2,IF(D25&lt;F25,0,1)))</f>
        <v>2</v>
      </c>
      <c r="E26" s="51" t="s">
        <v>24</v>
      </c>
      <c r="F26" s="94">
        <f>IF(F25="","",IF(F25&gt;D25,2,IF(F25&lt;D25,0,1)))</f>
        <v>0</v>
      </c>
      <c r="G26" s="90"/>
      <c r="H26" s="91"/>
      <c r="I26" s="92"/>
      <c r="J26" s="93">
        <f>IF(J25="","",IF(J25&gt;L25,2,IF(J25&lt;L25,0,1)))</f>
        <v>0</v>
      </c>
      <c r="K26" s="51" t="s">
        <v>24</v>
      </c>
      <c r="L26" s="94">
        <f>IF(L25="","",IF(L25&gt;J25,2,IF(L25&lt;J25,0,1)))</f>
        <v>2</v>
      </c>
      <c r="M26" s="93">
        <f>IF(M25="","",IF(M25&gt;O25,2,IF(M25&lt;O25,0,1)))</f>
        <v>2</v>
      </c>
      <c r="N26" s="51" t="s">
        <v>24</v>
      </c>
      <c r="O26" s="94">
        <f>IF(O25="","",IF(O25&gt;M25,2,IF(O25&lt;M25,0,1)))</f>
        <v>0</v>
      </c>
      <c r="P26" s="93">
        <f>IF(P25="","",IF(P25&gt;R25,2,IF(P25&lt;R25,0,1)))</f>
        <v>2</v>
      </c>
      <c r="Q26" s="51" t="s">
        <v>24</v>
      </c>
      <c r="R26" s="94">
        <f>IF(R25="","",IF(R25&gt;P25,2,IF(R25&lt;P25,0,1)))</f>
        <v>0</v>
      </c>
      <c r="S26" s="93">
        <f>IF(X26="","",SUM(D26,G26,J26,M26,P26))</f>
        <v>6</v>
      </c>
      <c r="T26" s="51" t="s">
        <v>24</v>
      </c>
      <c r="U26" s="94">
        <f>IF(X26="","",SUM(F26,I26,L26,O26,R26))</f>
        <v>2</v>
      </c>
      <c r="V26" s="95"/>
      <c r="W26" s="96">
        <f>+(S26-U26)+S25/U25+S26</f>
        <v>11.125786163522012</v>
      </c>
      <c r="X26" s="34" t="s">
        <v>165</v>
      </c>
    </row>
    <row r="27" spans="2:28" ht="15" customHeight="1">
      <c r="B27" s="79" t="str">
        <f>IF(Daten!K16="","",Daten!K16)</f>
        <v>N3</v>
      </c>
      <c r="C27" s="80" t="str">
        <f>IF(Daten!L16="","",Daten!L16)</f>
        <v>TSV Burgdorf</v>
      </c>
      <c r="D27" s="84">
        <f>IF(L23="","",L23)</f>
        <v>43</v>
      </c>
      <c r="E27" s="85" t="s">
        <v>23</v>
      </c>
      <c r="F27" s="86">
        <f>IF(J23="","",J23)</f>
        <v>42</v>
      </c>
      <c r="G27" s="84">
        <f>IF(L25="","",L25)</f>
        <v>43</v>
      </c>
      <c r="H27" s="85" t="s">
        <v>23</v>
      </c>
      <c r="I27" s="86">
        <f>IF(J25="","",J25)</f>
        <v>40</v>
      </c>
      <c r="J27" s="81"/>
      <c r="K27" s="82"/>
      <c r="L27" s="83"/>
      <c r="M27" s="84">
        <f>IF(Samstag!$Q86="","",Samstag!$Q86)</f>
        <v>37</v>
      </c>
      <c r="N27" s="85" t="s">
        <v>23</v>
      </c>
      <c r="O27" s="86">
        <f>IF(Samstag!$S86="","",Samstag!$S86)</f>
        <v>41</v>
      </c>
      <c r="P27" s="84">
        <f>IF(Samstag!$Q110="","",Samstag!$Q110)</f>
        <v>44</v>
      </c>
      <c r="Q27" s="85" t="s">
        <v>23</v>
      </c>
      <c r="R27" s="86">
        <f>IF(Samstag!$S110="","",Samstag!$S110)</f>
        <v>37</v>
      </c>
      <c r="S27" s="84">
        <f>IF(X28="","",SUM(D27,G27,J27,M27,P27))</f>
        <v>167</v>
      </c>
      <c r="T27" s="85" t="s">
        <v>23</v>
      </c>
      <c r="U27" s="86">
        <f>IF(X28="","",SUM(F27,I27,L27,O27,R27))</f>
        <v>160</v>
      </c>
      <c r="V27" s="97">
        <v>3</v>
      </c>
      <c r="X27" s="34" t="s">
        <v>165</v>
      </c>
      <c r="AA27" s="28">
        <v>3</v>
      </c>
      <c r="AB27" s="28" t="str">
        <f>IF(V27="","",IF($V$23=3,$C$23,IF($V$25=3,$C$25,IF($V$27=3,$C$27,IF($V$29=3,$C$29,IF($V$31=3,$C$31,0))))))</f>
        <v>TSV Burgdorf</v>
      </c>
    </row>
    <row r="28" spans="2:24" ht="10.5" customHeight="1">
      <c r="B28" s="122"/>
      <c r="C28" s="123"/>
      <c r="D28" s="93">
        <f>IF(D27="","",IF(D27&gt;F27,2,IF(D27&lt;F27,0,1)))</f>
        <v>2</v>
      </c>
      <c r="E28" s="51" t="s">
        <v>24</v>
      </c>
      <c r="F28" s="94">
        <f>IF(F27="","",IF(F27&gt;D27,2,IF(F27&lt;D27,0,1)))</f>
        <v>0</v>
      </c>
      <c r="G28" s="93">
        <f>IF(G27="","",IF(G27&gt;I27,2,IF(G27&lt;I27,0,1)))</f>
        <v>2</v>
      </c>
      <c r="H28" s="51" t="s">
        <v>24</v>
      </c>
      <c r="I28" s="94">
        <f>IF(I27="","",IF(I27&gt;G27,2,IF(I27&lt;G27,0,1)))</f>
        <v>0</v>
      </c>
      <c r="J28" s="90"/>
      <c r="K28" s="91"/>
      <c r="L28" s="92"/>
      <c r="M28" s="93">
        <f>IF(M27="","",IF(M27&gt;O27,2,IF(M27&lt;O27,0,1)))</f>
        <v>0</v>
      </c>
      <c r="N28" s="51" t="s">
        <v>24</v>
      </c>
      <c r="O28" s="94">
        <f>IF(O27="","",IF(O27&gt;M27,2,IF(O27&lt;M27,0,1)))</f>
        <v>2</v>
      </c>
      <c r="P28" s="93">
        <f>IF(P27="","",IF(P27&gt;R27,2,IF(P27&lt;R27,0,1)))</f>
        <v>2</v>
      </c>
      <c r="Q28" s="51" t="s">
        <v>24</v>
      </c>
      <c r="R28" s="94">
        <f>IF(R27="","",IF(R27&gt;P27,2,IF(R27&lt;P27,0,1)))</f>
        <v>0</v>
      </c>
      <c r="S28" s="93">
        <f>IF(X28="","",SUM(D28,G28,J28,M28,P28))</f>
        <v>6</v>
      </c>
      <c r="T28" s="51" t="s">
        <v>24</v>
      </c>
      <c r="U28" s="94">
        <f>IF(X28="","",SUM(F28,I28,L28,O28,R28))</f>
        <v>2</v>
      </c>
      <c r="V28" s="95"/>
      <c r="W28" s="96">
        <f>+(S28-U28)+S27/U27+S28</f>
        <v>11.04375</v>
      </c>
      <c r="X28" s="34" t="s">
        <v>165</v>
      </c>
    </row>
    <row r="29" spans="2:28" ht="15" customHeight="1">
      <c r="B29" s="79" t="str">
        <f>IF(Daten!K17="","",Daten!K17)</f>
        <v>N2</v>
      </c>
      <c r="C29" s="80" t="str">
        <f>IF(Daten!L17="","",Daten!L17)</f>
        <v>MTV Jahn Schladen</v>
      </c>
      <c r="D29" s="84">
        <f>IF(O23="","",O23)</f>
        <v>47</v>
      </c>
      <c r="E29" s="85" t="s">
        <v>23</v>
      </c>
      <c r="F29" s="86">
        <f>IF(M23="","",M23)</f>
        <v>38</v>
      </c>
      <c r="G29" s="84">
        <f>IF(O25="","",O25)</f>
        <v>36</v>
      </c>
      <c r="H29" s="85" t="s">
        <v>23</v>
      </c>
      <c r="I29" s="86">
        <f>IF(M25="","",M25)</f>
        <v>40</v>
      </c>
      <c r="J29" s="84">
        <f>IF(O27="","",O27)</f>
        <v>41</v>
      </c>
      <c r="K29" s="85" t="s">
        <v>23</v>
      </c>
      <c r="L29" s="86">
        <f>IF(M27="","",M27)</f>
        <v>37</v>
      </c>
      <c r="M29" s="81"/>
      <c r="N29" s="82"/>
      <c r="O29" s="83"/>
      <c r="P29" s="84">
        <f>IF(Samstag!$Q98="","",Samstag!$Q98)</f>
        <v>45</v>
      </c>
      <c r="Q29" s="85" t="s">
        <v>23</v>
      </c>
      <c r="R29" s="86">
        <f>IF(Samstag!$S98="","",Samstag!$S98)</f>
        <v>33</v>
      </c>
      <c r="S29" s="84">
        <f>IF(X30="","",SUM(D29,G29,J29,M29,P29))</f>
        <v>169</v>
      </c>
      <c r="T29" s="85" t="s">
        <v>23</v>
      </c>
      <c r="U29" s="86">
        <f>IF(X30="","",SUM(F29,I29,L29,O29,R29))</f>
        <v>148</v>
      </c>
      <c r="V29" s="97">
        <v>2</v>
      </c>
      <c r="X29" s="34" t="s">
        <v>165</v>
      </c>
      <c r="AA29" s="28">
        <v>4</v>
      </c>
      <c r="AB29" s="28" t="str">
        <f>IF(V29="","",IF($V$23=4,$C$23,IF($V$25=4,$C$25,IF($V$27=4,$C$27,IF($V$29=4,$C$29,IF($V$31=4,$C$31,0))))))</f>
        <v>Linden Dahlhauser TV</v>
      </c>
    </row>
    <row r="30" spans="2:24" ht="10.5" customHeight="1">
      <c r="B30" s="120"/>
      <c r="C30" s="123"/>
      <c r="D30" s="93">
        <f>IF(D29="","",IF(D29&gt;F29,2,IF(D29&lt;F29,0,1)))</f>
        <v>2</v>
      </c>
      <c r="E30" s="51" t="s">
        <v>24</v>
      </c>
      <c r="F30" s="94">
        <f>IF(F29="","",IF(F29&gt;D29,2,IF(F29&lt;D29,0,1)))</f>
        <v>0</v>
      </c>
      <c r="G30" s="93">
        <f>IF(G29="","",IF(G29&gt;I29,2,IF(G29&lt;I29,0,1)))</f>
        <v>0</v>
      </c>
      <c r="H30" s="51" t="s">
        <v>24</v>
      </c>
      <c r="I30" s="94">
        <f>IF(I29="","",IF(I29&gt;G29,2,IF(I29&lt;G29,0,1)))</f>
        <v>2</v>
      </c>
      <c r="J30" s="93">
        <f>IF(J29="","",IF(J29&gt;L29,2,IF(J29&lt;L29,0,1)))</f>
        <v>2</v>
      </c>
      <c r="K30" s="51" t="s">
        <v>24</v>
      </c>
      <c r="L30" s="94">
        <f>IF(L29="","",IF(L29&gt;J29,2,IF(L29&lt;J29,0,1)))</f>
        <v>0</v>
      </c>
      <c r="M30" s="90"/>
      <c r="N30" s="91"/>
      <c r="O30" s="92"/>
      <c r="P30" s="93">
        <f>IF(P29="","",IF(P29&gt;R29,2,IF(P29&lt;R29,0,1)))</f>
        <v>2</v>
      </c>
      <c r="Q30" s="51" t="s">
        <v>24</v>
      </c>
      <c r="R30" s="94">
        <f>IF(R29="","",IF(R29&gt;P29,2,IF(R29&lt;P29,0,1)))</f>
        <v>0</v>
      </c>
      <c r="S30" s="93">
        <f>IF(X30="","",SUM(D30,G30,J30,M30,P30))</f>
        <v>6</v>
      </c>
      <c r="T30" s="51" t="s">
        <v>24</v>
      </c>
      <c r="U30" s="94">
        <f>IF(X30="","",SUM(F30,I30,L30,O30,R30))</f>
        <v>2</v>
      </c>
      <c r="V30" s="95"/>
      <c r="W30" s="96">
        <f>+(S30-U30)+S29/U29+S30</f>
        <v>11.141891891891891</v>
      </c>
      <c r="X30" s="34" t="s">
        <v>165</v>
      </c>
    </row>
    <row r="31" spans="2:28" ht="15" customHeight="1">
      <c r="B31" s="79" t="str">
        <f>IF(Daten!K18="","",Daten!K18)</f>
        <v>S2</v>
      </c>
      <c r="C31" s="80" t="str">
        <f>IF(Daten!L18="","",Daten!L18)</f>
        <v>VfL Waiblingen</v>
      </c>
      <c r="D31" s="84">
        <f>IF(R23="","",R23)</f>
        <v>36</v>
      </c>
      <c r="E31" s="85" t="s">
        <v>23</v>
      </c>
      <c r="F31" s="86">
        <f>IF(P23="","",P23)</f>
        <v>47</v>
      </c>
      <c r="G31" s="84">
        <f>IF(R25="","",R25)</f>
        <v>40</v>
      </c>
      <c r="H31" s="85" t="s">
        <v>23</v>
      </c>
      <c r="I31" s="86">
        <f>IF(P25="","",P25)</f>
        <v>47</v>
      </c>
      <c r="J31" s="84">
        <f>IF(R27="","",R27)</f>
        <v>37</v>
      </c>
      <c r="K31" s="85" t="s">
        <v>23</v>
      </c>
      <c r="L31" s="86">
        <f>IF(P27="","",P27)</f>
        <v>44</v>
      </c>
      <c r="M31" s="84">
        <f>IF(R29="","",R29)</f>
        <v>33</v>
      </c>
      <c r="N31" s="85" t="s">
        <v>23</v>
      </c>
      <c r="O31" s="86">
        <f>IF(P29="","",P29)</f>
        <v>45</v>
      </c>
      <c r="P31" s="81"/>
      <c r="Q31" s="82"/>
      <c r="R31" s="83"/>
      <c r="S31" s="84">
        <f>IF(X32="","",SUM(D31,G31,J31,M31,P31))</f>
        <v>146</v>
      </c>
      <c r="T31" s="85" t="s">
        <v>23</v>
      </c>
      <c r="U31" s="86">
        <f>IF(X32="","",SUM(F31,I31,L31,O31,R31))</f>
        <v>183</v>
      </c>
      <c r="V31" s="97">
        <f>IF(X31="","",RANK(W32,($W$24,$W$26,$W$28,$W$30,$W$32),0))</f>
        <v>5</v>
      </c>
      <c r="X31" s="34" t="s">
        <v>165</v>
      </c>
      <c r="AA31" s="28">
        <v>5</v>
      </c>
      <c r="AB31" s="28" t="str">
        <f>IF(V31="","",IF($V$23=5,$C$23,IF($V$25=5,$C$25,IF($V$27=5,$C$27,IF($V$29=5,$C$29,IF($V$31=5,$C$31,0))))))</f>
        <v>VfL Waiblingen</v>
      </c>
    </row>
    <row r="32" spans="2:24" ht="10.5" customHeight="1">
      <c r="B32" s="122"/>
      <c r="C32" s="123"/>
      <c r="D32" s="93">
        <f>IF(D31="","",IF(D31&gt;F31,2,IF(D31&lt;F31,0,1)))</f>
        <v>0</v>
      </c>
      <c r="E32" s="51" t="s">
        <v>24</v>
      </c>
      <c r="F32" s="94">
        <f>IF(F31="","",IF(F31&gt;D31,2,IF(F31&lt;D31,0,1)))</f>
        <v>2</v>
      </c>
      <c r="G32" s="93">
        <f>IF(G31="","",IF(G31&gt;I31,2,IF(G31&lt;I31,0,1)))</f>
        <v>0</v>
      </c>
      <c r="H32" s="51" t="s">
        <v>24</v>
      </c>
      <c r="I32" s="94">
        <f>IF(I31="","",IF(I31&gt;G31,2,IF(I31&lt;G31,0,1)))</f>
        <v>2</v>
      </c>
      <c r="J32" s="93">
        <f>IF(J31="","",IF(J31&gt;L31,2,IF(J31&lt;L31,0,1)))</f>
        <v>0</v>
      </c>
      <c r="K32" s="51" t="s">
        <v>24</v>
      </c>
      <c r="L32" s="94">
        <f>IF(L31="","",IF(L31&gt;J31,2,IF(L31&lt;J31,0,1)))</f>
        <v>2</v>
      </c>
      <c r="M32" s="93">
        <f>IF(M31="","",IF(M31&gt;O31,2,IF(M31&lt;O31,0,1)))</f>
        <v>0</v>
      </c>
      <c r="N32" s="51" t="s">
        <v>24</v>
      </c>
      <c r="O32" s="94">
        <f>IF(O31="","",IF(O31&gt;M31,2,IF(O31&lt;M31,0,1)))</f>
        <v>2</v>
      </c>
      <c r="P32" s="90"/>
      <c r="Q32" s="91"/>
      <c r="R32" s="92"/>
      <c r="S32" s="93">
        <f>IF(X32="","",SUM(D32,G32,J32,M32,P32))</f>
        <v>0</v>
      </c>
      <c r="T32" s="51" t="s">
        <v>24</v>
      </c>
      <c r="U32" s="94">
        <f>IF(X32="","",SUM(F32,I32,L32,O32,R32))</f>
        <v>8</v>
      </c>
      <c r="V32" s="95"/>
      <c r="W32" s="96">
        <f>+(S32-U32)+S31/U31+S32</f>
        <v>-7.202185792349727</v>
      </c>
      <c r="X32" s="34" t="s">
        <v>165</v>
      </c>
    </row>
    <row r="33" spans="2:24" ht="9.75" customHeight="1">
      <c r="B33" s="100"/>
      <c r="C33" s="100"/>
      <c r="D33" s="101"/>
      <c r="E33" s="85"/>
      <c r="F33" s="102"/>
      <c r="G33" s="101"/>
      <c r="H33" s="85"/>
      <c r="I33" s="102"/>
      <c r="J33" s="101"/>
      <c r="K33" s="85"/>
      <c r="L33" s="102"/>
      <c r="M33" s="101"/>
      <c r="N33" s="85"/>
      <c r="O33" s="102"/>
      <c r="P33" s="103"/>
      <c r="Q33" s="103"/>
      <c r="R33" s="103"/>
      <c r="S33" s="101"/>
      <c r="T33" s="85"/>
      <c r="U33" s="102"/>
      <c r="V33" s="104"/>
      <c r="W33" s="96"/>
      <c r="X33" s="34"/>
    </row>
    <row r="34" spans="2:24" ht="9.75" customHeight="1" outlineLevel="1">
      <c r="B34" s="105" t="s">
        <v>25</v>
      </c>
      <c r="C34" s="106" t="str">
        <f>+C23</f>
        <v>Linden Dahlhauser TV</v>
      </c>
      <c r="D34" s="107"/>
      <c r="E34" s="108"/>
      <c r="F34" s="109"/>
      <c r="G34" s="110"/>
      <c r="H34" s="111" t="s">
        <v>23</v>
      </c>
      <c r="I34" s="112"/>
      <c r="J34" s="110"/>
      <c r="K34" s="111" t="s">
        <v>23</v>
      </c>
      <c r="L34" s="112"/>
      <c r="M34" s="110"/>
      <c r="N34" s="111" t="s">
        <v>23</v>
      </c>
      <c r="O34" s="112"/>
      <c r="P34" s="113"/>
      <c r="Q34" s="111" t="s">
        <v>23</v>
      </c>
      <c r="R34" s="114"/>
      <c r="S34" s="55"/>
      <c r="T34" s="115"/>
      <c r="U34" s="116"/>
      <c r="V34" s="31"/>
      <c r="W34" s="96"/>
      <c r="X34" s="34"/>
    </row>
    <row r="35" spans="2:24" ht="9.75" customHeight="1" outlineLevel="1">
      <c r="B35" s="117"/>
      <c r="C35" s="106" t="str">
        <f>+C25</f>
        <v>TV Berkenbaum</v>
      </c>
      <c r="D35" s="110">
        <f>IF(I34="","",I34)</f>
      </c>
      <c r="E35" s="111" t="s">
        <v>23</v>
      </c>
      <c r="F35" s="112">
        <f>IF(G34="","",G34)</f>
      </c>
      <c r="G35" s="107"/>
      <c r="H35" s="108"/>
      <c r="I35" s="109"/>
      <c r="J35" s="110"/>
      <c r="K35" s="111" t="s">
        <v>23</v>
      </c>
      <c r="L35" s="112"/>
      <c r="M35" s="110"/>
      <c r="N35" s="111" t="s">
        <v>23</v>
      </c>
      <c r="O35" s="112"/>
      <c r="P35" s="113"/>
      <c r="Q35" s="111" t="s">
        <v>23</v>
      </c>
      <c r="R35" s="114"/>
      <c r="S35" s="55"/>
      <c r="T35" s="115"/>
      <c r="U35" s="116"/>
      <c r="V35" s="31"/>
      <c r="W35" s="96"/>
      <c r="X35" s="34"/>
    </row>
    <row r="36" spans="2:24" ht="9.75" customHeight="1" outlineLevel="1">
      <c r="B36" s="117"/>
      <c r="C36" s="106" t="str">
        <f>+C27</f>
        <v>TSV Burgdorf</v>
      </c>
      <c r="D36" s="110">
        <f>IF(L34="","",L34)</f>
      </c>
      <c r="E36" s="111" t="s">
        <v>23</v>
      </c>
      <c r="F36" s="112">
        <f>IF(J34="","",J34)</f>
      </c>
      <c r="G36" s="110">
        <f>IF(L35="","",L35)</f>
      </c>
      <c r="H36" s="111" t="s">
        <v>23</v>
      </c>
      <c r="I36" s="112">
        <f>IF(J35="","",J35)</f>
      </c>
      <c r="J36" s="107"/>
      <c r="K36" s="108"/>
      <c r="L36" s="109"/>
      <c r="M36" s="110"/>
      <c r="N36" s="111" t="s">
        <v>23</v>
      </c>
      <c r="O36" s="112"/>
      <c r="P36" s="113"/>
      <c r="Q36" s="111" t="s">
        <v>23</v>
      </c>
      <c r="R36" s="114"/>
      <c r="S36" s="55"/>
      <c r="T36" s="115"/>
      <c r="U36" s="116"/>
      <c r="V36" s="31"/>
      <c r="W36" s="96"/>
      <c r="X36" s="34"/>
    </row>
    <row r="37" spans="2:24" ht="9.75" customHeight="1" outlineLevel="1">
      <c r="B37" s="117"/>
      <c r="C37" s="106" t="str">
        <f>+C29</f>
        <v>MTV Jahn Schladen</v>
      </c>
      <c r="D37" s="110">
        <f>IF(O34="","",O34)</f>
      </c>
      <c r="E37" s="111" t="s">
        <v>23</v>
      </c>
      <c r="F37" s="112">
        <f>IF(M34="","",M34)</f>
      </c>
      <c r="G37" s="110">
        <f>IF(O35="","",O35)</f>
      </c>
      <c r="H37" s="111" t="s">
        <v>23</v>
      </c>
      <c r="I37" s="112">
        <f>IF(M35="","",M35)</f>
      </c>
      <c r="J37" s="110">
        <f>IF(O36="","",O36)</f>
      </c>
      <c r="K37" s="111" t="s">
        <v>23</v>
      </c>
      <c r="L37" s="112">
        <f>IF(M36="","",M36)</f>
      </c>
      <c r="M37" s="107"/>
      <c r="N37" s="108"/>
      <c r="O37" s="109"/>
      <c r="P37" s="113"/>
      <c r="Q37" s="111" t="s">
        <v>23</v>
      </c>
      <c r="R37" s="114"/>
      <c r="S37" s="55"/>
      <c r="T37" s="115"/>
      <c r="U37" s="116"/>
      <c r="V37" s="31"/>
      <c r="W37" s="96"/>
      <c r="X37" s="34"/>
    </row>
    <row r="38" spans="3:18" ht="9.75" customHeight="1" outlineLevel="1">
      <c r="C38" s="106" t="str">
        <f>+C31</f>
        <v>VfL Waiblingen</v>
      </c>
      <c r="D38" s="110">
        <f>IF(R34="","",R34)</f>
      </c>
      <c r="E38" s="111" t="s">
        <v>23</v>
      </c>
      <c r="F38" s="112">
        <f>IF(P34="","",P34)</f>
      </c>
      <c r="G38" s="110">
        <f>IF(R35="","",R35)</f>
      </c>
      <c r="H38" s="111" t="s">
        <v>23</v>
      </c>
      <c r="I38" s="112">
        <f>IF(P35="","",P35)</f>
      </c>
      <c r="J38" s="110">
        <f>IF(R36="","",R36)</f>
      </c>
      <c r="K38" s="111" t="s">
        <v>23</v>
      </c>
      <c r="L38" s="112">
        <f>IF(P36="","",P36)</f>
      </c>
      <c r="M38" s="110">
        <f>IF(R37="","",R37)</f>
      </c>
      <c r="N38" s="111" t="s">
        <v>23</v>
      </c>
      <c r="O38" s="112">
        <f>IF(P37="","",P37)</f>
      </c>
      <c r="P38" s="107"/>
      <c r="Q38" s="108"/>
      <c r="R38" s="109"/>
    </row>
    <row r="39" ht="18" customHeight="1">
      <c r="B39" s="30" t="s">
        <v>100</v>
      </c>
    </row>
    <row r="40" spans="1:15" ht="17.25" customHeight="1">
      <c r="A40" s="28" t="s">
        <v>26</v>
      </c>
      <c r="B40" s="124" t="str">
        <f>"4."&amp;+$C$4&amp;"  5."&amp;+$C$22</f>
        <v>4.Gruppe G  5.Gruppe H</v>
      </c>
      <c r="C40" s="125" t="str">
        <f>IF(M40="","",$AB$11&amp;" : "&amp;$AB$31)</f>
        <v>TV Zeilhard : VfL Waiblingen</v>
      </c>
      <c r="D40" s="126"/>
      <c r="E40" s="126"/>
      <c r="F40" s="126"/>
      <c r="G40" s="126"/>
      <c r="H40" s="127"/>
      <c r="I40" s="119"/>
      <c r="J40" s="128">
        <f>IF(Sonntag!Q29="","",Sonntag!Q29)</f>
        <v>43</v>
      </c>
      <c r="K40" s="129" t="s">
        <v>23</v>
      </c>
      <c r="L40" s="130">
        <f>IF(Sonntag!S29="","",Sonntag!S29)</f>
        <v>37</v>
      </c>
      <c r="M40" s="131" t="s">
        <v>165</v>
      </c>
      <c r="N40" s="132"/>
      <c r="O40" s="67"/>
    </row>
    <row r="41" spans="1:13" ht="4.5" customHeight="1">
      <c r="A41" s="31"/>
      <c r="B41" s="56"/>
      <c r="C41" s="31"/>
      <c r="D41" s="133"/>
      <c r="E41" s="134"/>
      <c r="F41" s="133"/>
      <c r="G41" s="133"/>
      <c r="H41" s="133"/>
      <c r="I41" s="133"/>
      <c r="J41" s="135"/>
      <c r="L41" s="136"/>
      <c r="M41" s="36"/>
    </row>
    <row r="42" spans="1:14" ht="17.25" customHeight="1">
      <c r="A42" s="28" t="s">
        <v>27</v>
      </c>
      <c r="B42" s="124" t="str">
        <f>"4."&amp;+$C$22&amp;"  5."&amp;+$C$4</f>
        <v>4.Gruppe H  5.Gruppe G</v>
      </c>
      <c r="C42" s="125" t="str">
        <f>IF(M42="","",$AB$29&amp;" : "&amp;$AB$13)</f>
        <v>Linden Dahlhauser TV : SV Weiler</v>
      </c>
      <c r="D42" s="137"/>
      <c r="E42" s="137"/>
      <c r="F42" s="137"/>
      <c r="G42" s="137"/>
      <c r="H42" s="137"/>
      <c r="I42" s="75"/>
      <c r="J42" s="128">
        <f>IF(Sonntag!Q30="","",Sonntag!Q30)</f>
        <v>50</v>
      </c>
      <c r="K42" s="129" t="s">
        <v>23</v>
      </c>
      <c r="L42" s="130">
        <f>IF(Sonntag!S30="","",Sonntag!S30)</f>
        <v>47</v>
      </c>
      <c r="M42" s="131" t="s">
        <v>165</v>
      </c>
      <c r="N42" s="132"/>
    </row>
    <row r="43" spans="2:22" ht="18" customHeight="1">
      <c r="B43" s="156" t="s">
        <v>101</v>
      </c>
      <c r="C43" s="133"/>
      <c r="D43" s="133"/>
      <c r="E43" s="134"/>
      <c r="F43" s="133"/>
      <c r="G43" s="133"/>
      <c r="H43" s="133"/>
      <c r="I43" s="133"/>
      <c r="J43" s="135"/>
      <c r="L43" s="136"/>
      <c r="M43" s="36"/>
      <c r="P43" s="31"/>
      <c r="Q43" s="31"/>
      <c r="R43" s="31"/>
      <c r="S43" s="31"/>
      <c r="T43" s="31"/>
      <c r="U43" s="31"/>
      <c r="V43" s="31"/>
    </row>
    <row r="44" spans="2:22" ht="17.25" customHeight="1">
      <c r="B44" s="161" t="str">
        <f>"V."&amp;A40&amp;"/"&amp;A42&amp;"      9./10. Pl."</f>
        <v>V.a/b      9./10. Pl.</v>
      </c>
      <c r="C44" s="138" t="str">
        <f>IF(M44="","",IF(J40="","",Sonntag!H37)&amp;" : "&amp;IF(J42="","",Sonntag!L37))</f>
        <v>VfL Waiblingen : SV Weiler</v>
      </c>
      <c r="D44" s="137"/>
      <c r="E44" s="137"/>
      <c r="F44" s="137"/>
      <c r="G44" s="137"/>
      <c r="H44" s="137"/>
      <c r="I44" s="75"/>
      <c r="J44" s="128">
        <f>IF(Sonntag!Q37="","",Sonntag!Q37)</f>
        <v>41</v>
      </c>
      <c r="K44" s="129" t="s">
        <v>23</v>
      </c>
      <c r="L44" s="130">
        <f>IF(Sonntag!S37="","",Sonntag!S37)</f>
        <v>42</v>
      </c>
      <c r="M44" s="36" t="s">
        <v>165</v>
      </c>
      <c r="O44" s="40" t="s">
        <v>28</v>
      </c>
      <c r="P44" s="139"/>
      <c r="Q44" s="139"/>
      <c r="R44" s="139"/>
      <c r="S44" s="139"/>
      <c r="T44" s="139"/>
      <c r="U44" s="139"/>
      <c r="V44" s="139"/>
    </row>
    <row r="45" spans="2:22" ht="4.5" customHeight="1">
      <c r="B45" s="140"/>
      <c r="C45" s="133"/>
      <c r="D45" s="133"/>
      <c r="E45" s="133"/>
      <c r="F45" s="133"/>
      <c r="G45" s="133"/>
      <c r="H45" s="134"/>
      <c r="I45" s="133"/>
      <c r="J45" s="135"/>
      <c r="L45" s="136"/>
      <c r="M45" s="36"/>
      <c r="P45" s="31"/>
      <c r="Q45" s="31"/>
      <c r="R45" s="31"/>
      <c r="S45" s="31"/>
      <c r="T45" s="31"/>
      <c r="U45" s="31"/>
      <c r="V45" s="31"/>
    </row>
    <row r="46" spans="2:22" ht="17.25" customHeight="1">
      <c r="B46" s="161" t="str">
        <f>"S."&amp;A40&amp;"/"&amp;A42&amp;"      7./8. Pl."</f>
        <v>S.a/b      7./8. Pl.</v>
      </c>
      <c r="C46" s="138" t="str">
        <f>IF(M46="","",IF($J$40="","",Sonntag!H38)&amp;" : "&amp;IF($J$42="","",Sonntag!L38))</f>
        <v>TV Zeilhard : Linden Dahlhauser TV</v>
      </c>
      <c r="D46" s="126"/>
      <c r="E46" s="127"/>
      <c r="F46" s="126"/>
      <c r="G46" s="126"/>
      <c r="H46" s="126"/>
      <c r="I46" s="119"/>
      <c r="J46" s="128">
        <f>IF(Sonntag!Q38="","",Sonntag!Q38)</f>
        <v>44</v>
      </c>
      <c r="K46" s="129" t="s">
        <v>23</v>
      </c>
      <c r="L46" s="130">
        <f>IF(Sonntag!S38="","",Sonntag!S38)</f>
        <v>40</v>
      </c>
      <c r="M46" s="36" t="s">
        <v>165</v>
      </c>
      <c r="O46" s="159">
        <v>1</v>
      </c>
      <c r="P46" s="141" t="str">
        <f>" "&amp;IF(J60="","",IF(Sonntag!Q66&gt;Sonntag!S66,Sonntag!H66,Sonntag!L66))</f>
        <v> MTV Jahn Schladen</v>
      </c>
      <c r="Q46" s="141"/>
      <c r="R46" s="141"/>
      <c r="S46" s="141"/>
      <c r="T46" s="141"/>
      <c r="U46" s="141"/>
      <c r="V46" s="142"/>
    </row>
    <row r="47" spans="2:22" ht="18" customHeight="1">
      <c r="B47" s="156" t="s">
        <v>29</v>
      </c>
      <c r="C47" s="133"/>
      <c r="D47" s="133"/>
      <c r="E47" s="133"/>
      <c r="F47" s="133"/>
      <c r="G47" s="133"/>
      <c r="H47" s="134"/>
      <c r="I47" s="133"/>
      <c r="J47" s="135"/>
      <c r="L47" s="136"/>
      <c r="M47" s="36"/>
      <c r="O47" s="143">
        <v>2</v>
      </c>
      <c r="P47" s="144" t="str">
        <f>" "&amp;IF(J60="","",IF(Sonntag!Q66&lt;Sonntag!S66,Sonntag!H66,Sonntag!L66))</f>
        <v> TV Berkenbaum</v>
      </c>
      <c r="Q47" s="67"/>
      <c r="R47" s="67"/>
      <c r="S47" s="67"/>
      <c r="T47" s="67"/>
      <c r="U47" s="67"/>
      <c r="V47" s="145"/>
    </row>
    <row r="48" spans="1:22" ht="17.25" customHeight="1">
      <c r="A48" s="28" t="s">
        <v>30</v>
      </c>
      <c r="B48" s="124" t="str">
        <f>"2."&amp;+$C$4&amp;"  3."&amp;+$C$22</f>
        <v>2.Gruppe G  3.Gruppe H</v>
      </c>
      <c r="C48" s="125" t="str">
        <f>IF(M48="","",$AB$7&amp;" : "&amp;$AB$27)</f>
        <v>TV Kierdorf : TSV Burgdorf</v>
      </c>
      <c r="D48" s="126"/>
      <c r="E48" s="127"/>
      <c r="F48" s="126"/>
      <c r="G48" s="126"/>
      <c r="H48" s="126"/>
      <c r="I48" s="119"/>
      <c r="J48" s="128">
        <f>IF(Sonntag!Q42="","",Sonntag!Q42)</f>
        <v>55</v>
      </c>
      <c r="K48" s="129" t="s">
        <v>23</v>
      </c>
      <c r="L48" s="130">
        <f>IF(Sonntag!S42="","",Sonntag!S42)</f>
        <v>53</v>
      </c>
      <c r="M48" s="36" t="s">
        <v>165</v>
      </c>
      <c r="O48" s="143">
        <v>3</v>
      </c>
      <c r="P48" s="146" t="str">
        <f>" "&amp;IF(J58="","",IF(Sonntag!Q62&gt;Sonntag!S62,Sonntag!H62,Sonntag!L62))</f>
        <v> TuS Aschen-Strang</v>
      </c>
      <c r="Q48" s="67"/>
      <c r="R48" s="67"/>
      <c r="S48" s="67"/>
      <c r="T48" s="67"/>
      <c r="U48" s="67"/>
      <c r="V48" s="145"/>
    </row>
    <row r="49" spans="2:22" ht="4.5" customHeight="1">
      <c r="B49" s="133"/>
      <c r="C49" s="133"/>
      <c r="D49" s="133"/>
      <c r="E49" s="133"/>
      <c r="F49" s="133"/>
      <c r="G49" s="133"/>
      <c r="H49" s="133"/>
      <c r="I49" s="133"/>
      <c r="J49" s="135"/>
      <c r="L49" s="136"/>
      <c r="M49" s="36"/>
      <c r="O49" s="143"/>
      <c r="P49" s="67"/>
      <c r="Q49" s="67"/>
      <c r="R49" s="67"/>
      <c r="S49" s="67"/>
      <c r="T49" s="67"/>
      <c r="U49" s="67"/>
      <c r="V49" s="145"/>
    </row>
    <row r="50" spans="1:22" ht="17.25" customHeight="1">
      <c r="A50" s="28" t="s">
        <v>31</v>
      </c>
      <c r="B50" s="124" t="str">
        <f>"2."&amp;+$C$22&amp;"  3."&amp;+$C$4</f>
        <v>2.Gruppe H  3.Gruppe G</v>
      </c>
      <c r="C50" s="125" t="str">
        <f>IF(M50="","",$AB$25&amp;" : "&amp;$AB$9)</f>
        <v>MTV Jahn Schladen : TV Huchenfeld</v>
      </c>
      <c r="D50" s="126"/>
      <c r="E50" s="126"/>
      <c r="F50" s="126"/>
      <c r="G50" s="126"/>
      <c r="H50" s="127"/>
      <c r="I50" s="119"/>
      <c r="J50" s="128">
        <f>IF(Sonntag!Q46="","",Sonntag!Q46)</f>
        <v>41</v>
      </c>
      <c r="K50" s="129" t="s">
        <v>23</v>
      </c>
      <c r="L50" s="130">
        <f>IF(Sonntag!S46="","",Sonntag!S46)</f>
        <v>36</v>
      </c>
      <c r="M50" s="36" t="s">
        <v>165</v>
      </c>
      <c r="O50" s="143">
        <v>4</v>
      </c>
      <c r="P50" s="146" t="str">
        <f>" "&amp;IF(J58="","",IF(Sonntag!Q62&lt;Sonntag!S62,Sonntag!H62,Sonntag!L62))</f>
        <v> TV Kierdorf</v>
      </c>
      <c r="Q50" s="67"/>
      <c r="R50" s="67"/>
      <c r="S50" s="67"/>
      <c r="T50" s="67"/>
      <c r="U50" s="67"/>
      <c r="V50" s="145"/>
    </row>
    <row r="51" spans="2:22" ht="18" customHeight="1">
      <c r="B51" s="156" t="s">
        <v>32</v>
      </c>
      <c r="C51" s="133"/>
      <c r="D51" s="133"/>
      <c r="E51" s="133"/>
      <c r="F51" s="133"/>
      <c r="G51" s="133"/>
      <c r="H51" s="133"/>
      <c r="I51" s="133"/>
      <c r="J51" s="135"/>
      <c r="L51" s="136"/>
      <c r="M51" s="36"/>
      <c r="O51" s="143">
        <v>5</v>
      </c>
      <c r="P51" s="146" t="str">
        <f>" "&amp;IF(J56="","",IF(Sonntag!Q58&gt;Sonntag!S58,Sonntag!H58,Sonntag!L58))</f>
        <v> TV Huchenfeld</v>
      </c>
      <c r="Q51" s="67"/>
      <c r="R51" s="67"/>
      <c r="S51" s="67"/>
      <c r="T51" s="67"/>
      <c r="U51" s="67"/>
      <c r="V51" s="145"/>
    </row>
    <row r="52" spans="1:22" ht="17.25" customHeight="1">
      <c r="A52" s="28" t="s">
        <v>33</v>
      </c>
      <c r="B52" s="124" t="str">
        <f>"1."&amp;+$C$4&amp;"  Sieger "&amp;+$A$50</f>
        <v>1.Gruppe G  Sieger d</v>
      </c>
      <c r="C52" s="138" t="str">
        <f>IF(M52="","",$AB$5&amp;" : "&amp;IF(J50="","",Sonntag!L54))</f>
        <v>TuS Aschen-Strang : MTV Jahn Schladen</v>
      </c>
      <c r="D52" s="126"/>
      <c r="E52" s="126"/>
      <c r="F52" s="126"/>
      <c r="G52" s="126"/>
      <c r="H52" s="127"/>
      <c r="I52" s="119"/>
      <c r="J52" s="128">
        <f>IF(Sonntag!Q54="","",Sonntag!Q54)</f>
        <v>31</v>
      </c>
      <c r="K52" s="129" t="s">
        <v>23</v>
      </c>
      <c r="L52" s="130">
        <f>IF(Sonntag!S54="","",Sonntag!S54)</f>
        <v>36</v>
      </c>
      <c r="M52" s="36" t="s">
        <v>165</v>
      </c>
      <c r="O52" s="143">
        <v>6</v>
      </c>
      <c r="P52" s="146" t="str">
        <f>" "&amp;IF(J56="","",IF(Sonntag!Q58&lt;Sonntag!S58,Sonntag!H58,Sonntag!L58))</f>
        <v> TSV Burgdorf</v>
      </c>
      <c r="Q52" s="67"/>
      <c r="R52" s="67"/>
      <c r="S52" s="67"/>
      <c r="T52" s="67"/>
      <c r="U52" s="67"/>
      <c r="V52" s="145"/>
    </row>
    <row r="53" spans="2:22" ht="4.5" customHeight="1">
      <c r="B53" s="134"/>
      <c r="C53" s="133"/>
      <c r="D53" s="133"/>
      <c r="E53" s="134"/>
      <c r="F53" s="133"/>
      <c r="G53" s="133"/>
      <c r="H53" s="133"/>
      <c r="I53" s="133"/>
      <c r="J53" s="135"/>
      <c r="L53" s="136"/>
      <c r="M53" s="36"/>
      <c r="O53" s="143"/>
      <c r="P53" s="67"/>
      <c r="Q53" s="67"/>
      <c r="R53" s="67"/>
      <c r="S53" s="67"/>
      <c r="T53" s="67"/>
      <c r="U53" s="67"/>
      <c r="V53" s="145"/>
    </row>
    <row r="54" spans="1:22" ht="17.25" customHeight="1">
      <c r="A54" s="28" t="s">
        <v>34</v>
      </c>
      <c r="B54" s="124" t="str">
        <f>"1."&amp;+$C$22&amp;"  Sieger "&amp;+$A$48</f>
        <v>1.Gruppe H  Sieger c</v>
      </c>
      <c r="C54" s="138" t="str">
        <f>IF(M54="","",$AB$23&amp;" : "&amp;IF(J48="","",Sonntag!L50))</f>
        <v>TV Berkenbaum : TV Kierdorf</v>
      </c>
      <c r="D54" s="126"/>
      <c r="E54" s="126"/>
      <c r="F54" s="126"/>
      <c r="G54" s="126"/>
      <c r="H54" s="126"/>
      <c r="I54" s="119"/>
      <c r="J54" s="128">
        <f>IF(Sonntag!Q50="","",Sonntag!Q50)</f>
        <v>44</v>
      </c>
      <c r="K54" s="129" t="s">
        <v>23</v>
      </c>
      <c r="L54" s="130">
        <f>IF(Sonntag!S50="","",Sonntag!S50)</f>
        <v>31</v>
      </c>
      <c r="M54" s="36" t="s">
        <v>165</v>
      </c>
      <c r="O54" s="143">
        <v>7</v>
      </c>
      <c r="P54" s="146" t="str">
        <f>" "&amp;IF(J46="","",IF(Sonntag!Q38&gt;Sonntag!S38,Sonntag!H38,Sonntag!L38))</f>
        <v> TV Zeilhard</v>
      </c>
      <c r="Q54" s="67"/>
      <c r="R54" s="67"/>
      <c r="S54" s="67"/>
      <c r="T54" s="67"/>
      <c r="U54" s="67"/>
      <c r="V54" s="145"/>
    </row>
    <row r="55" spans="2:22" ht="18" customHeight="1">
      <c r="B55" s="158" t="s">
        <v>102</v>
      </c>
      <c r="C55" s="133"/>
      <c r="D55" s="133"/>
      <c r="E55" s="134"/>
      <c r="F55" s="133"/>
      <c r="G55" s="133"/>
      <c r="H55" s="133"/>
      <c r="I55" s="133"/>
      <c r="J55" s="135"/>
      <c r="L55" s="136"/>
      <c r="M55" s="36"/>
      <c r="O55" s="143">
        <v>8</v>
      </c>
      <c r="P55" s="146" t="str">
        <f>" "&amp;IF(J46="","",IF(Sonntag!Q38&lt;Sonntag!S38,Sonntag!H38,Sonntag!L38))</f>
        <v> Linden Dahlhauser TV</v>
      </c>
      <c r="Q55" s="67"/>
      <c r="R55" s="67"/>
      <c r="S55" s="67"/>
      <c r="T55" s="67"/>
      <c r="U55" s="67"/>
      <c r="V55" s="145"/>
    </row>
    <row r="56" spans="2:22" ht="17.25" customHeight="1">
      <c r="B56" s="161" t="str">
        <f>"V."&amp;A48&amp;"/"&amp;A50&amp;"         5./6. Pl."</f>
        <v>V.c/d         5./6. Pl.</v>
      </c>
      <c r="C56" s="138" t="str">
        <f>IF(M56="","",IF(J48="","",Sonntag!H58)&amp;" : "&amp;IF(J50="","",Sonntag!L58))</f>
        <v>TSV Burgdorf : TV Huchenfeld</v>
      </c>
      <c r="D56" s="126"/>
      <c r="E56" s="126"/>
      <c r="F56" s="126"/>
      <c r="G56" s="126"/>
      <c r="H56" s="126"/>
      <c r="I56" s="119"/>
      <c r="J56" s="128">
        <f>IF(Sonntag!Q58="","",Sonntag!Q58)</f>
        <v>43</v>
      </c>
      <c r="K56" s="129" t="s">
        <v>23</v>
      </c>
      <c r="L56" s="130">
        <f>IF(Sonntag!S58="","",Sonntag!S58)</f>
        <v>44</v>
      </c>
      <c r="M56" s="36" t="s">
        <v>165</v>
      </c>
      <c r="O56" s="143">
        <v>9</v>
      </c>
      <c r="P56" s="146" t="str">
        <f>" "&amp;IF(J44="","",IF(Sonntag!Q37&gt;Sonntag!S37,Sonntag!H37,Sonntag!L37))</f>
        <v> SV Weiler</v>
      </c>
      <c r="Q56" s="67"/>
      <c r="R56" s="67"/>
      <c r="S56" s="67"/>
      <c r="T56" s="67"/>
      <c r="U56" s="67"/>
      <c r="V56" s="145"/>
    </row>
    <row r="57" spans="2:22" ht="4.5" customHeight="1">
      <c r="B57" s="133"/>
      <c r="C57" s="133"/>
      <c r="D57" s="133"/>
      <c r="E57" s="133"/>
      <c r="F57" s="133"/>
      <c r="G57" s="133"/>
      <c r="H57" s="134"/>
      <c r="I57" s="133"/>
      <c r="J57" s="135"/>
      <c r="L57" s="136"/>
      <c r="M57" s="36"/>
      <c r="O57" s="143"/>
      <c r="P57" s="67"/>
      <c r="Q57" s="67"/>
      <c r="R57" s="67"/>
      <c r="S57" s="67"/>
      <c r="T57" s="67"/>
      <c r="U57" s="67"/>
      <c r="V57" s="145"/>
    </row>
    <row r="58" spans="2:22" ht="17.25" customHeight="1">
      <c r="B58" s="161" t="str">
        <f>"V."&amp;A52&amp;"/"&amp;A54&amp;"         3./4. Pl."</f>
        <v>V.e/f         3./4. Pl.</v>
      </c>
      <c r="C58" s="138" t="str">
        <f>IF(M58="","",IF(J52="","",Sonntag!H62)&amp;" : "&amp;IF(J54="","",Sonntag!L62))</f>
        <v>TV Kierdorf : TuS Aschen-Strang</v>
      </c>
      <c r="D58" s="126"/>
      <c r="E58" s="127"/>
      <c r="F58" s="126"/>
      <c r="G58" s="126"/>
      <c r="H58" s="126"/>
      <c r="I58" s="119"/>
      <c r="J58" s="128">
        <f>IF(Sonntag!Q62="","",Sonntag!Q62)</f>
        <v>31</v>
      </c>
      <c r="K58" s="129" t="s">
        <v>23</v>
      </c>
      <c r="L58" s="130">
        <f>IF(Sonntag!S62="","",Sonntag!S62)</f>
        <v>35</v>
      </c>
      <c r="M58" s="36" t="s">
        <v>165</v>
      </c>
      <c r="O58" s="147">
        <v>10</v>
      </c>
      <c r="P58" s="148" t="str">
        <f>" "&amp;IF(J44="","",IF(Sonntag!Q37&lt;Sonntag!S37,Sonntag!H37,Sonntag!L37))</f>
        <v> VfL Waiblingen</v>
      </c>
      <c r="Q58" s="149"/>
      <c r="R58" s="149"/>
      <c r="S58" s="149"/>
      <c r="T58" s="149"/>
      <c r="U58" s="149"/>
      <c r="V58" s="150"/>
    </row>
    <row r="59" spans="2:13" ht="18" customHeight="1">
      <c r="B59" s="157" t="s">
        <v>35</v>
      </c>
      <c r="C59" s="31"/>
      <c r="D59" s="133"/>
      <c r="E59" s="133"/>
      <c r="F59" s="133"/>
      <c r="G59" s="31"/>
      <c r="H59" s="151"/>
      <c r="I59" s="31"/>
      <c r="J59" s="135"/>
      <c r="L59" s="136"/>
      <c r="M59" s="36"/>
    </row>
    <row r="60" spans="2:13" ht="17.25" customHeight="1">
      <c r="B60" s="161" t="str">
        <f>"S."&amp;A52&amp;"/"&amp;A54&amp;"         1./2. Pl."</f>
        <v>S.e/f         1./2. Pl.</v>
      </c>
      <c r="C60" s="138" t="str">
        <f>IF(M60="","",IF(J52="","",Sonntag!H66)&amp;" : "&amp;IF(J54="","",Sonntag!L66))</f>
        <v>TV Berkenbaum : MTV Jahn Schladen</v>
      </c>
      <c r="D60" s="137"/>
      <c r="E60" s="152"/>
      <c r="F60" s="137"/>
      <c r="G60" s="126"/>
      <c r="H60" s="126"/>
      <c r="I60" s="119"/>
      <c r="J60" s="128">
        <f>IF(Sonntag!Q66="","",Sonntag!Q66)</f>
        <v>37</v>
      </c>
      <c r="K60" s="129" t="s">
        <v>23</v>
      </c>
      <c r="L60" s="130">
        <f>IF(Sonntag!S66="","",Sonntag!S66)</f>
        <v>38</v>
      </c>
      <c r="M60" s="36" t="s">
        <v>165</v>
      </c>
    </row>
  </sheetData>
  <printOptions horizontalCentered="1" verticalCentered="1"/>
  <pageMargins left="0.35433070866141736" right="0.35433070866141736" top="0.1968503937007874" bottom="0.3937007874015748" header="0.5118110236220472" footer="0.5118110236220472"/>
  <pageSetup horizontalDpi="300" verticalDpi="300" orientation="portrait" paperSize="9" r:id="rId3"/>
  <headerFooter alignWithMargins="0">
    <oddFooter>&amp;R&amp;6&amp;D; &amp;F;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4"/>
  <sheetViews>
    <sheetView tabSelected="1" workbookViewId="0" topLeftCell="B29">
      <selection activeCell="S79" sqref="S79"/>
    </sheetView>
  </sheetViews>
  <sheetFormatPr defaultColWidth="11.421875" defaultRowHeight="12.75" outlineLevelRow="1" outlineLevelCol="1"/>
  <cols>
    <col min="1" max="1" width="3.00390625" style="28" hidden="1" customWidth="1" outlineLevel="1"/>
    <col min="2" max="2" width="3.7109375" style="28" customWidth="1" collapsed="1"/>
    <col min="3" max="3" width="4.8515625" style="28" customWidth="1"/>
    <col min="4" max="4" width="3.28125" style="28" customWidth="1"/>
    <col min="5" max="5" width="4.140625" style="28" customWidth="1"/>
    <col min="6" max="6" width="3.140625" style="28" customWidth="1"/>
    <col min="7" max="7" width="2.7109375" style="28" hidden="1" customWidth="1" outlineLevel="1"/>
    <col min="8" max="8" width="16.7109375" style="28" customWidth="1" collapsed="1"/>
    <col min="9" max="9" width="1.421875" style="28" customWidth="1"/>
    <col min="10" max="10" width="3.140625" style="28" customWidth="1"/>
    <col min="11" max="11" width="2.7109375" style="28" hidden="1" customWidth="1" outlineLevel="1"/>
    <col min="12" max="12" width="16.7109375" style="28" customWidth="1" collapsed="1"/>
    <col min="13" max="13" width="3.140625" style="28" customWidth="1"/>
    <col min="14" max="14" width="2.7109375" style="28" hidden="1" customWidth="1" outlineLevel="1"/>
    <col min="15" max="15" width="16.7109375" style="28" customWidth="1" collapsed="1"/>
    <col min="16" max="16" width="4.8515625" style="28" customWidth="1" outlineLevel="1"/>
    <col min="17" max="17" width="2.7109375" style="28" customWidth="1" outlineLevel="1"/>
    <col min="18" max="18" width="1.421875" style="28" customWidth="1" outlineLevel="1"/>
    <col min="19" max="20" width="2.7109375" style="28" customWidth="1" outlineLevel="1"/>
    <col min="21" max="21" width="1.421875" style="28" customWidth="1" outlineLevel="1"/>
    <col min="22" max="22" width="2.7109375" style="28" customWidth="1" outlineLevel="1"/>
    <col min="23" max="23" width="0.71875" style="28" customWidth="1"/>
    <col min="24" max="25" width="8.28125" style="28" hidden="1" customWidth="1" outlineLevel="1"/>
    <col min="26" max="26" width="2.140625" style="36" customWidth="1" collapsed="1"/>
    <col min="27" max="27" width="6.28125" style="28" bestFit="1" customWidth="1"/>
    <col min="28" max="16384" width="11.421875" style="28" customWidth="1"/>
  </cols>
  <sheetData>
    <row r="1" spans="2:26" s="30" customFormat="1" ht="18.75" customHeight="1">
      <c r="B1" s="61" t="str">
        <f>+Daten!A1&amp;" "&amp;Daten!B1&amp;" "&amp;Daten!I1</f>
        <v>44. Deutsche Prellball Meisterschaften der Jugend 2007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2:15" ht="15.75" customHeight="1">
      <c r="B2" s="28" t="s">
        <v>165</v>
      </c>
      <c r="C2" s="176" t="str">
        <f>+Daten!A37</f>
        <v>06.05.2007</v>
      </c>
      <c r="H2" s="28" t="s">
        <v>165</v>
      </c>
      <c r="L2" s="28" t="s">
        <v>165</v>
      </c>
      <c r="O2" s="28" t="s">
        <v>165</v>
      </c>
    </row>
    <row r="3" spans="1:25" ht="12.75" hidden="1" outlineLevel="1">
      <c r="A3" s="36"/>
      <c r="B3" s="36" t="str">
        <f>+Daten!I4</f>
        <v>männl. Jugend 11-14</v>
      </c>
      <c r="C3" s="36"/>
      <c r="D3" s="36"/>
      <c r="E3" s="36"/>
      <c r="F3" s="36"/>
      <c r="G3" s="36"/>
      <c r="H3" s="36" t="str">
        <f>+Daten!C12</f>
        <v>weibl. Jugend 15-18</v>
      </c>
      <c r="I3" s="36"/>
      <c r="J3" s="36"/>
      <c r="K3" s="36"/>
      <c r="L3" s="36" t="str">
        <f>+Daten!C4</f>
        <v>weibl. Jugend 11-14</v>
      </c>
      <c r="M3" s="36"/>
      <c r="N3" s="36"/>
      <c r="O3" s="36" t="str">
        <f>+Daten!I12</f>
        <v>männl. Jugend 15-18</v>
      </c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2.75" hidden="1" outlineLevel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4.5" customHeight="1" hidden="1" outlineLevel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2.75" hidden="1" outlineLevel="1">
      <c r="A6" s="36"/>
      <c r="B6" s="36" t="s">
        <v>17</v>
      </c>
      <c r="C6" s="36"/>
      <c r="D6" s="36"/>
      <c r="E6" s="36"/>
      <c r="F6" s="36"/>
      <c r="G6" s="36"/>
      <c r="H6" s="36" t="s">
        <v>18</v>
      </c>
      <c r="I6" s="36"/>
      <c r="J6" s="36"/>
      <c r="K6" s="36"/>
      <c r="L6" s="36" t="s">
        <v>16</v>
      </c>
      <c r="M6" s="36"/>
      <c r="N6" s="36"/>
      <c r="O6" s="36" t="s">
        <v>19</v>
      </c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2.75" hidden="1" outlineLevel="1">
      <c r="A7" s="36">
        <v>1</v>
      </c>
      <c r="B7" s="166" t="str">
        <f>+'mJ11-14'!AB5</f>
        <v>Vegesacker TV</v>
      </c>
      <c r="C7" s="36"/>
      <c r="D7" s="36"/>
      <c r="E7" s="36"/>
      <c r="F7" s="36"/>
      <c r="G7" s="36"/>
      <c r="H7" s="166" t="str">
        <f>+'wJ 15-18'!AB5</f>
        <v>Vegesacker TV</v>
      </c>
      <c r="I7" s="36"/>
      <c r="J7" s="36"/>
      <c r="K7" s="36"/>
      <c r="L7" s="166" t="str">
        <f>+'wJ11-14'!AB5</f>
        <v>TV Sottrum</v>
      </c>
      <c r="M7" s="36"/>
      <c r="N7" s="36"/>
      <c r="O7" s="166" t="str">
        <f>+'mJ 15-18'!AB5</f>
        <v>TuS Aschen-Strang</v>
      </c>
      <c r="P7" s="36"/>
      <c r="Q7" s="36"/>
      <c r="R7" s="36"/>
      <c r="S7" s="36"/>
      <c r="T7" s="36"/>
      <c r="U7" s="36"/>
      <c r="V7" s="36"/>
      <c r="W7" s="36"/>
      <c r="X7" s="166"/>
      <c r="Y7" s="36"/>
    </row>
    <row r="8" spans="1:25" ht="12.75" hidden="1" outlineLevel="1">
      <c r="A8" s="36">
        <v>2</v>
      </c>
      <c r="B8" s="166" t="str">
        <f>+'mJ11-14'!AB7</f>
        <v>TV Mahndorf</v>
      </c>
      <c r="C8" s="36"/>
      <c r="D8" s="36"/>
      <c r="E8" s="36"/>
      <c r="F8" s="36"/>
      <c r="G8" s="36"/>
      <c r="H8" s="166" t="str">
        <f>+'wJ 15-18'!AB7</f>
        <v>TV Zeilhard</v>
      </c>
      <c r="I8" s="36"/>
      <c r="J8" s="36"/>
      <c r="K8" s="36"/>
      <c r="L8" s="166" t="str">
        <f>+'wJ11-14'!AB7</f>
        <v>TB Essen-Altendorf</v>
      </c>
      <c r="M8" s="36"/>
      <c r="N8" s="36"/>
      <c r="O8" s="166" t="str">
        <f>+'mJ 15-18'!AB7</f>
        <v>TV Kierdorf</v>
      </c>
      <c r="P8" s="36"/>
      <c r="Q8" s="36"/>
      <c r="R8" s="36"/>
      <c r="S8" s="36"/>
      <c r="T8" s="36"/>
      <c r="U8" s="36"/>
      <c r="V8" s="36"/>
      <c r="W8" s="36"/>
      <c r="X8" s="166"/>
      <c r="Y8" s="36"/>
    </row>
    <row r="9" spans="1:25" ht="12.75" hidden="1" outlineLevel="1">
      <c r="A9" s="36">
        <v>3</v>
      </c>
      <c r="B9" s="166" t="str">
        <f>+'mJ11-14'!AB9</f>
        <v>PV Gundernhausen</v>
      </c>
      <c r="C9" s="36"/>
      <c r="D9" s="36"/>
      <c r="E9" s="36"/>
      <c r="F9" s="36"/>
      <c r="G9" s="36"/>
      <c r="H9" s="166" t="str">
        <f>+'wJ 15-18'!AB9</f>
        <v>TV Freiburg St. Georgen</v>
      </c>
      <c r="I9" s="36"/>
      <c r="J9" s="36"/>
      <c r="K9" s="36"/>
      <c r="L9" s="166" t="str">
        <f>+'wJ11-14'!AB9</f>
        <v>PV Gundernhausen </v>
      </c>
      <c r="M9" s="36"/>
      <c r="N9" s="36"/>
      <c r="O9" s="166" t="str">
        <f>+'mJ 15-18'!AB9</f>
        <v>TV Huchenfeld</v>
      </c>
      <c r="P9" s="36"/>
      <c r="Q9" s="36"/>
      <c r="R9" s="36"/>
      <c r="S9" s="36"/>
      <c r="T9" s="36"/>
      <c r="U9" s="36"/>
      <c r="V9" s="36"/>
      <c r="W9" s="36"/>
      <c r="X9" s="166"/>
      <c r="Y9" s="36"/>
    </row>
    <row r="10" spans="1:25" ht="12.75" hidden="1" outlineLevel="1">
      <c r="A10" s="36">
        <v>4</v>
      </c>
      <c r="B10" s="166" t="str">
        <f>+'mJ11-14'!AB11</f>
        <v>GW Wuppertal</v>
      </c>
      <c r="C10" s="36"/>
      <c r="D10" s="36"/>
      <c r="E10" s="36"/>
      <c r="F10" s="36"/>
      <c r="G10" s="36"/>
      <c r="H10" s="166" t="str">
        <f>+'wJ 15-18'!AB11</f>
        <v>TV Hochneukirch</v>
      </c>
      <c r="I10" s="36"/>
      <c r="J10" s="36"/>
      <c r="K10" s="36"/>
      <c r="L10" s="166" t="str">
        <f>+'wJ11-14'!AB11</f>
        <v>TV Freiburg St. Georgen</v>
      </c>
      <c r="M10" s="36"/>
      <c r="N10" s="36"/>
      <c r="O10" s="166" t="str">
        <f>+'mJ 15-18'!AB11</f>
        <v>TV Zeilhard</v>
      </c>
      <c r="P10" s="36"/>
      <c r="Q10" s="36"/>
      <c r="R10" s="36"/>
      <c r="S10" s="36"/>
      <c r="T10" s="36"/>
      <c r="U10" s="36"/>
      <c r="V10" s="36"/>
      <c r="W10" s="36"/>
      <c r="X10" s="166"/>
      <c r="Y10" s="36"/>
    </row>
    <row r="11" spans="1:25" ht="12.75" hidden="1" outlineLevel="1">
      <c r="A11" s="36">
        <v>5</v>
      </c>
      <c r="B11" s="166" t="str">
        <f>+'mJ11-14'!AB13</f>
        <v>VfL Waiblingen</v>
      </c>
      <c r="C11" s="36"/>
      <c r="D11" s="36"/>
      <c r="E11" s="36"/>
      <c r="F11" s="36"/>
      <c r="G11" s="36"/>
      <c r="H11" s="166" t="str">
        <f>+'wJ 15-18'!AB13</f>
        <v>TSV Babenhausen</v>
      </c>
      <c r="I11" s="36"/>
      <c r="J11" s="36"/>
      <c r="K11" s="36"/>
      <c r="L11" s="166" t="str">
        <f>+'wJ11-14'!AB13</f>
        <v>SV Weiler</v>
      </c>
      <c r="M11" s="36"/>
      <c r="N11" s="36"/>
      <c r="O11" s="166" t="str">
        <f>+'mJ 15-18'!AB13</f>
        <v>SV Weiler</v>
      </c>
      <c r="P11" s="36"/>
      <c r="Q11" s="36"/>
      <c r="R11" s="36"/>
      <c r="S11" s="36"/>
      <c r="T11" s="36"/>
      <c r="U11" s="36"/>
      <c r="V11" s="36"/>
      <c r="W11" s="36"/>
      <c r="X11" s="166"/>
      <c r="Y11" s="36"/>
    </row>
    <row r="12" spans="1:25" ht="12.75" hidden="1" outlineLevel="1">
      <c r="A12" s="36">
        <v>11</v>
      </c>
      <c r="B12" s="166" t="str">
        <f>+'mJ11-14'!AB23</f>
        <v>Linden Dahlhauser TV</v>
      </c>
      <c r="C12" s="36"/>
      <c r="D12" s="36"/>
      <c r="E12" s="36"/>
      <c r="F12" s="36"/>
      <c r="G12" s="36"/>
      <c r="H12" s="166" t="str">
        <f>+'wJ 15-18'!AB23</f>
        <v>MTV Markoldendorf</v>
      </c>
      <c r="I12" s="36"/>
      <c r="J12" s="36"/>
      <c r="K12" s="36"/>
      <c r="L12" s="166" t="str">
        <f>+'wJ11-14'!AB23</f>
        <v>Vegesacker TV</v>
      </c>
      <c r="M12" s="36"/>
      <c r="N12" s="36"/>
      <c r="O12" s="166" t="str">
        <f>+'mJ 15-18'!AB23</f>
        <v>TV Berkenbaum</v>
      </c>
      <c r="P12" s="36"/>
      <c r="Q12" s="36"/>
      <c r="R12" s="36"/>
      <c r="S12" s="36"/>
      <c r="T12" s="36"/>
      <c r="U12" s="36"/>
      <c r="V12" s="36"/>
      <c r="W12" s="36"/>
      <c r="X12" s="166"/>
      <c r="Y12" s="36"/>
    </row>
    <row r="13" spans="1:25" ht="12.75" hidden="1" outlineLevel="1">
      <c r="A13" s="36">
        <v>12</v>
      </c>
      <c r="B13" s="166" t="str">
        <f>+'mJ11-14'!AB25</f>
        <v>MTV Markoldendorf</v>
      </c>
      <c r="C13" s="36"/>
      <c r="D13" s="36"/>
      <c r="E13" s="36"/>
      <c r="F13" s="36"/>
      <c r="G13" s="36"/>
      <c r="H13" s="166" t="str">
        <f>+'wJ 15-18'!AB25</f>
        <v>TV Hemer </v>
      </c>
      <c r="I13" s="36"/>
      <c r="J13" s="36"/>
      <c r="K13" s="36"/>
      <c r="L13" s="166" t="str">
        <f>+'wJ11-14'!AB25</f>
        <v>TV Zeilhard </v>
      </c>
      <c r="M13" s="36"/>
      <c r="N13" s="36"/>
      <c r="O13" s="166" t="str">
        <f>+'mJ 15-18'!AB25</f>
        <v>MTV Jahn Schladen</v>
      </c>
      <c r="P13" s="36"/>
      <c r="Q13" s="36"/>
      <c r="R13" s="36"/>
      <c r="S13" s="36"/>
      <c r="T13" s="36"/>
      <c r="U13" s="36"/>
      <c r="V13" s="36"/>
      <c r="W13" s="36"/>
      <c r="X13" s="166"/>
      <c r="Y13" s="36"/>
    </row>
    <row r="14" spans="1:25" ht="12.75" hidden="1" outlineLevel="1">
      <c r="A14" s="36">
        <v>13</v>
      </c>
      <c r="B14" s="166" t="str">
        <f>+'mJ11-14'!AB27</f>
        <v>TV Zeilhard </v>
      </c>
      <c r="C14" s="36"/>
      <c r="D14" s="36"/>
      <c r="E14" s="36"/>
      <c r="F14" s="36"/>
      <c r="G14" s="36"/>
      <c r="H14" s="166" t="str">
        <f>+'wJ 15-18'!AB27</f>
        <v>VfL Waiblingen</v>
      </c>
      <c r="I14" s="36"/>
      <c r="J14" s="36"/>
      <c r="K14" s="36"/>
      <c r="L14" s="166" t="str">
        <f>+'wJ11-14'!AB27</f>
        <v>BTV Charlottenburg</v>
      </c>
      <c r="M14" s="36"/>
      <c r="N14" s="36"/>
      <c r="O14" s="166" t="str">
        <f>+'mJ 15-18'!AB27</f>
        <v>TSV Burgdorf</v>
      </c>
      <c r="P14" s="36"/>
      <c r="Q14" s="36"/>
      <c r="R14" s="36"/>
      <c r="S14" s="36"/>
      <c r="T14" s="36"/>
      <c r="U14" s="36"/>
      <c r="V14" s="36"/>
      <c r="W14" s="36"/>
      <c r="X14" s="166"/>
      <c r="Y14" s="36"/>
    </row>
    <row r="15" spans="1:25" ht="12.75" hidden="1" outlineLevel="1">
      <c r="A15" s="36">
        <v>14</v>
      </c>
      <c r="B15" s="166" t="str">
        <f>+'mJ11-14'!AB29</f>
        <v>TuS Harsefeld</v>
      </c>
      <c r="C15" s="36"/>
      <c r="D15" s="36"/>
      <c r="E15" s="36"/>
      <c r="F15" s="36"/>
      <c r="G15" s="36"/>
      <c r="H15" s="166" t="str">
        <f>+'wJ 15-18'!AB29</f>
        <v>TSV Marienfelde</v>
      </c>
      <c r="I15" s="36"/>
      <c r="J15" s="36"/>
      <c r="K15" s="36"/>
      <c r="L15" s="166" t="str">
        <f>+'wJ11-14'!AB29</f>
        <v>TV Hochneukirch</v>
      </c>
      <c r="M15" s="36"/>
      <c r="N15" s="36"/>
      <c r="O15" s="166" t="str">
        <f>+'mJ 15-18'!AB29</f>
        <v>Linden Dahlhauser TV</v>
      </c>
      <c r="P15" s="36"/>
      <c r="Q15" s="36"/>
      <c r="R15" s="36"/>
      <c r="S15" s="36"/>
      <c r="T15" s="36"/>
      <c r="U15" s="36"/>
      <c r="V15" s="36"/>
      <c r="W15" s="36"/>
      <c r="X15" s="166"/>
      <c r="Y15" s="36"/>
    </row>
    <row r="16" spans="1:25" ht="12.75" hidden="1" outlineLevel="1">
      <c r="A16" s="36">
        <v>15</v>
      </c>
      <c r="B16" s="166" t="str">
        <f>+'mJ11-14'!AB31</f>
        <v>TSV Ludwigshafen</v>
      </c>
      <c r="C16" s="36"/>
      <c r="D16" s="36"/>
      <c r="E16" s="36"/>
      <c r="F16" s="36"/>
      <c r="G16" s="36"/>
      <c r="H16" s="166" t="str">
        <f>+'wJ 15-18'!AB31</f>
        <v>TV Berkenbaum </v>
      </c>
      <c r="I16" s="36"/>
      <c r="J16" s="36"/>
      <c r="K16" s="36"/>
      <c r="L16" s="36" t="str">
        <f>+'wJ11-14'!AB31</f>
        <v>VfL Waiblingen</v>
      </c>
      <c r="M16" s="36"/>
      <c r="N16" s="36"/>
      <c r="O16" s="36" t="str">
        <f>+'mJ 15-18'!AB31</f>
        <v>VfL Waiblingen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="36" customFormat="1" ht="11.25" hidden="1" outlineLevel="1"/>
    <row r="18" s="36" customFormat="1" ht="11.25" hidden="1" outlineLevel="1"/>
    <row r="19" s="36" customFormat="1" ht="11.25" hidden="1" outlineLevel="1"/>
    <row r="20" spans="1:15" ht="12.75" hidden="1" outlineLevel="1">
      <c r="A20" s="36"/>
      <c r="B20" s="36"/>
      <c r="H20" s="36"/>
      <c r="I20" s="36"/>
      <c r="J20" s="36"/>
      <c r="K20" s="36"/>
      <c r="L20" s="36"/>
      <c r="M20" s="36"/>
      <c r="N20" s="36"/>
      <c r="O20" s="36"/>
    </row>
    <row r="21" ht="4.5" customHeight="1" hidden="1" outlineLevel="1"/>
    <row r="22" spans="2:25" s="60" customFormat="1" ht="12.75" customHeight="1" collapsed="1" thickBot="1">
      <c r="B22" s="62" t="s">
        <v>36</v>
      </c>
      <c r="C22" s="62" t="s">
        <v>2</v>
      </c>
      <c r="D22" s="62" t="s">
        <v>37</v>
      </c>
      <c r="E22" s="62" t="s">
        <v>38</v>
      </c>
      <c r="F22" s="62"/>
      <c r="G22" s="62"/>
      <c r="H22" s="62" t="s">
        <v>39</v>
      </c>
      <c r="I22" s="62"/>
      <c r="J22" s="62"/>
      <c r="K22" s="62"/>
      <c r="L22" s="62" t="s">
        <v>39</v>
      </c>
      <c r="M22" s="62"/>
      <c r="N22" s="62"/>
      <c r="O22" s="62" t="s">
        <v>40</v>
      </c>
      <c r="P22" s="62" t="s">
        <v>41</v>
      </c>
      <c r="Q22" s="62"/>
      <c r="R22" s="62" t="s">
        <v>42</v>
      </c>
      <c r="S22" s="62"/>
      <c r="T22" s="62"/>
      <c r="U22" s="62" t="s">
        <v>43</v>
      </c>
      <c r="V22" s="62"/>
      <c r="X22" s="62" t="s">
        <v>42</v>
      </c>
      <c r="Y22" s="62" t="s">
        <v>43</v>
      </c>
    </row>
    <row r="23" spans="2:28" s="36" customFormat="1" ht="12.75" customHeight="1" thickTop="1">
      <c r="B23" s="36">
        <v>26</v>
      </c>
      <c r="C23" s="41">
        <f>+Daten!P5</f>
        <v>0.375</v>
      </c>
      <c r="D23" s="36">
        <v>81</v>
      </c>
      <c r="E23" s="36">
        <v>1</v>
      </c>
      <c r="F23" s="42" t="s">
        <v>16</v>
      </c>
      <c r="G23" s="36">
        <v>4</v>
      </c>
      <c r="H23" s="43" t="str">
        <f ca="1">IF($L$2="","4. Gruppe A",INDIRECT(ADDRESS(MATCH(G23,$A$1:$A$20,0),MATCH(F23,$A$6:$AE$6,0))))</f>
        <v>TV Freiburg St. Georgen</v>
      </c>
      <c r="I23" s="44" t="s">
        <v>24</v>
      </c>
      <c r="J23" s="42" t="s">
        <v>16</v>
      </c>
      <c r="K23" s="36">
        <v>15</v>
      </c>
      <c r="L23" s="43" t="str">
        <f ca="1">IF($L$2="","5. Gruppe B",INDIRECT(ADDRESS(MATCH(K23,$A$1:$A$20,0),MATCH(J23,$A$6:$AE$6,0))))</f>
        <v>VfL Waiblingen</v>
      </c>
      <c r="M23" s="42" t="s">
        <v>18</v>
      </c>
      <c r="N23" s="36">
        <v>4</v>
      </c>
      <c r="O23" s="43" t="str">
        <f ca="1">IF($H$2="","4. Gruppe E",INDIRECT(ADDRESS(MATCH(N23,$A$1:$A$20,0),MATCH(M23,$A$6:$AE$6,0))))</f>
        <v>TV Hochneukirch</v>
      </c>
      <c r="P23" s="45"/>
      <c r="Q23" s="36">
        <v>44</v>
      </c>
      <c r="R23" s="44" t="s">
        <v>23</v>
      </c>
      <c r="S23" s="47">
        <v>31</v>
      </c>
      <c r="T23" s="46">
        <f aca="true" t="shared" si="0" ref="T23:T39">IF(Q23="","",IF(Q23&gt;S23,2,IF(Q23&lt;S23,0,1)))</f>
        <v>2</v>
      </c>
      <c r="U23" s="44" t="s">
        <v>23</v>
      </c>
      <c r="V23" s="47">
        <f aca="true" t="shared" si="1" ref="V23:V39">IF(S23="","",IF(S23&gt;Q23,2,IF(S23&lt;Q23,0,1)))</f>
        <v>0</v>
      </c>
      <c r="X23" s="44" t="s">
        <v>44</v>
      </c>
      <c r="Y23" s="44" t="s">
        <v>44</v>
      </c>
      <c r="AA23" s="36" t="s">
        <v>82</v>
      </c>
      <c r="AB23" s="36" t="s">
        <v>91</v>
      </c>
    </row>
    <row r="24" spans="4:28" s="36" customFormat="1" ht="12.75" customHeight="1">
      <c r="D24" s="36">
        <f aca="true" t="shared" si="2" ref="D24:D62">+D23+1</f>
        <v>82</v>
      </c>
      <c r="E24" s="36">
        <v>2</v>
      </c>
      <c r="F24" s="42" t="s">
        <v>16</v>
      </c>
      <c r="G24" s="36">
        <v>14</v>
      </c>
      <c r="H24" s="43" t="str">
        <f ca="1">IF($L$2="","4. Gruppe B",INDIRECT(ADDRESS(MATCH(G24,$A$1:$A$20,0),MATCH(F24,$A$6:$AE$6,0))))</f>
        <v>TV Hochneukirch</v>
      </c>
      <c r="I24" s="44" t="s">
        <v>24</v>
      </c>
      <c r="J24" s="42" t="s">
        <v>16</v>
      </c>
      <c r="K24" s="36">
        <v>5</v>
      </c>
      <c r="L24" s="43" t="str">
        <f ca="1">IF($L$2="","5. Gruppe A",INDIRECT(ADDRESS(MATCH(K24,$A$1:$A$20,0),MATCH(J24,$A$6:$AE$6,0))))</f>
        <v>SV Weiler</v>
      </c>
      <c r="M24" s="42" t="s">
        <v>18</v>
      </c>
      <c r="N24" s="36">
        <v>5</v>
      </c>
      <c r="O24" s="43" t="str">
        <f ca="1">IF($H$2="","5. Gruppe E",INDIRECT(ADDRESS(MATCH(N24,$A$1:$A$20,0),MATCH(M24,$A$6:$AE$6,0))))</f>
        <v>TSV Babenhausen</v>
      </c>
      <c r="P24" s="45"/>
      <c r="Q24" s="36">
        <v>33</v>
      </c>
      <c r="R24" s="44" t="s">
        <v>23</v>
      </c>
      <c r="S24" s="47">
        <v>31</v>
      </c>
      <c r="T24" s="46">
        <f t="shared" si="0"/>
        <v>2</v>
      </c>
      <c r="U24" s="44" t="s">
        <v>23</v>
      </c>
      <c r="V24" s="47">
        <f t="shared" si="1"/>
        <v>0</v>
      </c>
      <c r="X24" s="44" t="s">
        <v>44</v>
      </c>
      <c r="Y24" s="44" t="s">
        <v>44</v>
      </c>
      <c r="AA24" s="36" t="s">
        <v>82</v>
      </c>
      <c r="AB24" s="36" t="s">
        <v>91</v>
      </c>
    </row>
    <row r="25" spans="4:28" s="36" customFormat="1" ht="12.75" customHeight="1">
      <c r="D25" s="36">
        <f t="shared" si="2"/>
        <v>83</v>
      </c>
      <c r="E25" s="36">
        <v>3</v>
      </c>
      <c r="F25" s="42" t="s">
        <v>17</v>
      </c>
      <c r="G25" s="36">
        <v>4</v>
      </c>
      <c r="H25" s="43" t="str">
        <f ca="1">IF($B$2="","4. Gruppe C",INDIRECT(ADDRESS(MATCH(G25,$A$1:$A$20,0),MATCH(F25,$A$6:$AE$6,0))))</f>
        <v>GW Wuppertal</v>
      </c>
      <c r="I25" s="44" t="s">
        <v>24</v>
      </c>
      <c r="J25" s="42" t="s">
        <v>17</v>
      </c>
      <c r="K25" s="36">
        <v>15</v>
      </c>
      <c r="L25" s="43" t="str">
        <f ca="1">IF($B$2="","5. Gruppe D",INDIRECT(ADDRESS(MATCH(K25,$A$1:$A$20,0),MATCH(J25,$A$6:$AE$6,0))))</f>
        <v>TSV Ludwigshafen</v>
      </c>
      <c r="M25" s="42" t="s">
        <v>19</v>
      </c>
      <c r="N25" s="36">
        <v>4</v>
      </c>
      <c r="O25" s="43" t="str">
        <f ca="1">IF($O$2="","4. Gruppe G",INDIRECT(ADDRESS(MATCH(N25,$A$1:$A$20,0),MATCH(M25,$A$6:$AE$6,0))))</f>
        <v>TV Zeilhard</v>
      </c>
      <c r="P25" s="45"/>
      <c r="Q25" s="36">
        <v>52</v>
      </c>
      <c r="R25" s="44" t="s">
        <v>23</v>
      </c>
      <c r="S25" s="47">
        <v>53</v>
      </c>
      <c r="T25" s="46">
        <f t="shared" si="0"/>
        <v>0</v>
      </c>
      <c r="U25" s="44" t="s">
        <v>23</v>
      </c>
      <c r="V25" s="47">
        <f t="shared" si="1"/>
        <v>2</v>
      </c>
      <c r="X25" s="44" t="s">
        <v>44</v>
      </c>
      <c r="Y25" s="44" t="s">
        <v>44</v>
      </c>
      <c r="AA25" s="36" t="s">
        <v>82</v>
      </c>
      <c r="AB25" s="36" t="s">
        <v>91</v>
      </c>
    </row>
    <row r="26" spans="2:28" s="36" customFormat="1" ht="12.75" customHeight="1">
      <c r="B26" s="48"/>
      <c r="C26" s="48"/>
      <c r="D26" s="48">
        <f t="shared" si="2"/>
        <v>84</v>
      </c>
      <c r="E26" s="48">
        <v>4</v>
      </c>
      <c r="F26" s="49" t="s">
        <v>17</v>
      </c>
      <c r="G26" s="48">
        <v>14</v>
      </c>
      <c r="H26" s="50" t="str">
        <f ca="1">IF($B$2="","4. Gruppe D",INDIRECT(ADDRESS(MATCH(G26,$A$1:$A$20,0),MATCH(F26,$A$6:$AE$6,0))))</f>
        <v>TuS Harsefeld</v>
      </c>
      <c r="I26" s="51" t="s">
        <v>24</v>
      </c>
      <c r="J26" s="49" t="s">
        <v>17</v>
      </c>
      <c r="K26" s="48">
        <v>5</v>
      </c>
      <c r="L26" s="50" t="str">
        <f ca="1">IF($B$2="","5. Gruppe C",INDIRECT(ADDRESS(MATCH(K26,$A$1:$A$20,0),MATCH(J26,$A$6:$AE$6,0))))</f>
        <v>VfL Waiblingen</v>
      </c>
      <c r="M26" s="49" t="s">
        <v>19</v>
      </c>
      <c r="N26" s="48">
        <v>5</v>
      </c>
      <c r="O26" s="50" t="str">
        <f ca="1">IF($O$2="","5. Gruppe G",INDIRECT(ADDRESS(MATCH(N26,$A$1:$A$20,0),MATCH(M26,$A$6:$AE$6,0))))</f>
        <v>SV Weiler</v>
      </c>
      <c r="P26" s="52"/>
      <c r="Q26" s="48">
        <v>62</v>
      </c>
      <c r="R26" s="51" t="s">
        <v>23</v>
      </c>
      <c r="S26" s="54">
        <v>63</v>
      </c>
      <c r="T26" s="53">
        <f t="shared" si="0"/>
        <v>0</v>
      </c>
      <c r="U26" s="51" t="s">
        <v>23</v>
      </c>
      <c r="V26" s="54">
        <f t="shared" si="1"/>
        <v>2</v>
      </c>
      <c r="X26" s="51" t="s">
        <v>44</v>
      </c>
      <c r="Y26" s="51" t="s">
        <v>44</v>
      </c>
      <c r="AA26" s="36" t="s">
        <v>82</v>
      </c>
      <c r="AB26" s="36" t="s">
        <v>91</v>
      </c>
    </row>
    <row r="27" spans="2:28" ht="12.75">
      <c r="B27" s="36">
        <f>+B23+1</f>
        <v>27</v>
      </c>
      <c r="C27" s="41">
        <f>+Daten!P6</f>
        <v>0.3923611111111111</v>
      </c>
      <c r="D27" s="36">
        <f t="shared" si="2"/>
        <v>85</v>
      </c>
      <c r="E27" s="36">
        <v>1</v>
      </c>
      <c r="F27" s="42" t="s">
        <v>18</v>
      </c>
      <c r="G27" s="36">
        <v>4</v>
      </c>
      <c r="H27" s="43" t="str">
        <f ca="1">IF($H$2="","4. Gruppe E",INDIRECT(ADDRESS(MATCH(G27,$A$1:$A$20,0),MATCH(F27,$A$6:$AE$6,0))))</f>
        <v>TV Hochneukirch</v>
      </c>
      <c r="I27" s="44" t="s">
        <v>24</v>
      </c>
      <c r="J27" s="42" t="s">
        <v>18</v>
      </c>
      <c r="K27" s="36">
        <v>15</v>
      </c>
      <c r="L27" s="43" t="str">
        <f ca="1">IF($H$2="","5. Gruppe F",INDIRECT(ADDRESS(MATCH(K27,$A$1:$A$20,0),MATCH(J27,$A$6:$AE$6,0))))</f>
        <v>TV Berkenbaum </v>
      </c>
      <c r="M27" s="42" t="s">
        <v>16</v>
      </c>
      <c r="N27" s="36">
        <v>4</v>
      </c>
      <c r="O27" s="43" t="str">
        <f ca="1">IF($L$2="","4. Gruppe A",INDIRECT(ADDRESS(MATCH(N27,$A$1:$A$20,0),MATCH(M27,$A$6:$AE$6,0))))</f>
        <v>TV Freiburg St. Georgen</v>
      </c>
      <c r="P27" s="45"/>
      <c r="Q27" s="36">
        <v>33</v>
      </c>
      <c r="R27" s="44" t="s">
        <v>23</v>
      </c>
      <c r="S27" s="47">
        <v>34</v>
      </c>
      <c r="T27" s="46">
        <f t="shared" si="0"/>
        <v>0</v>
      </c>
      <c r="U27" s="44" t="s">
        <v>23</v>
      </c>
      <c r="V27" s="47">
        <f t="shared" si="1"/>
        <v>2</v>
      </c>
      <c r="X27" s="44" t="s">
        <v>44</v>
      </c>
      <c r="Y27" s="44" t="s">
        <v>44</v>
      </c>
      <c r="AA27" s="36" t="s">
        <v>82</v>
      </c>
      <c r="AB27" s="36" t="s">
        <v>91</v>
      </c>
    </row>
    <row r="28" spans="2:28" ht="12.75">
      <c r="B28" s="36"/>
      <c r="C28" s="36"/>
      <c r="D28" s="36">
        <f t="shared" si="2"/>
        <v>86</v>
      </c>
      <c r="E28" s="36">
        <v>2</v>
      </c>
      <c r="F28" s="42" t="s">
        <v>18</v>
      </c>
      <c r="G28" s="36">
        <v>14</v>
      </c>
      <c r="H28" s="43" t="str">
        <f ca="1">IF($H$2="","4. Gruppe F",INDIRECT(ADDRESS(MATCH(G28,$A$1:$A$20,0),MATCH(F28,$A$6:$AE$6,0))))</f>
        <v>TSV Marienfelde</v>
      </c>
      <c r="I28" s="44" t="s">
        <v>24</v>
      </c>
      <c r="J28" s="42" t="s">
        <v>18</v>
      </c>
      <c r="K28" s="36">
        <v>5</v>
      </c>
      <c r="L28" s="43" t="str">
        <f ca="1">IF($H$2="","5. Gruppe E",INDIRECT(ADDRESS(MATCH(K28,$A$1:$A$20,0),MATCH(J28,$A$6:$AE$6,0))))</f>
        <v>TSV Babenhausen</v>
      </c>
      <c r="M28" s="42" t="s">
        <v>16</v>
      </c>
      <c r="N28" s="36">
        <v>5</v>
      </c>
      <c r="O28" s="43" t="str">
        <f ca="1">IF($L$2="","5. Gruppe A",INDIRECT(ADDRESS(MATCH(N28,$A$1:$A$20,0),MATCH(M28,$A$6:$AE$6,0))))</f>
        <v>SV Weiler</v>
      </c>
      <c r="P28" s="45"/>
      <c r="Q28" s="36">
        <v>38</v>
      </c>
      <c r="R28" s="44" t="s">
        <v>23</v>
      </c>
      <c r="S28" s="47">
        <v>41</v>
      </c>
      <c r="T28" s="46">
        <f t="shared" si="0"/>
        <v>0</v>
      </c>
      <c r="U28" s="44" t="s">
        <v>23</v>
      </c>
      <c r="V28" s="47">
        <f t="shared" si="1"/>
        <v>2</v>
      </c>
      <c r="X28" s="44" t="s">
        <v>44</v>
      </c>
      <c r="Y28" s="44" t="s">
        <v>44</v>
      </c>
      <c r="AA28" s="36" t="s">
        <v>82</v>
      </c>
      <c r="AB28" s="36" t="s">
        <v>91</v>
      </c>
    </row>
    <row r="29" spans="2:28" ht="12.75">
      <c r="B29" s="36"/>
      <c r="C29" s="36"/>
      <c r="D29" s="36">
        <f t="shared" si="2"/>
        <v>87</v>
      </c>
      <c r="E29" s="36">
        <v>3</v>
      </c>
      <c r="F29" s="42" t="s">
        <v>19</v>
      </c>
      <c r="G29" s="36">
        <v>4</v>
      </c>
      <c r="H29" s="43" t="str">
        <f ca="1">IF($O$2="","4. Gruppe G",INDIRECT(ADDRESS(MATCH(G29,$A$1:$A$20,0),MATCH(F29,$A$6:$AE$6,0))))</f>
        <v>TV Zeilhard</v>
      </c>
      <c r="I29" s="44" t="s">
        <v>24</v>
      </c>
      <c r="J29" s="42" t="s">
        <v>19</v>
      </c>
      <c r="K29" s="36">
        <v>15</v>
      </c>
      <c r="L29" s="43" t="str">
        <f ca="1">IF($O$2="","5. Gruppe H",INDIRECT(ADDRESS(MATCH(K29,$A$1:$A$20,0),MATCH(J29,$A$6:$AE$6,0))))</f>
        <v>VfL Waiblingen</v>
      </c>
      <c r="M29" s="42" t="s">
        <v>17</v>
      </c>
      <c r="N29" s="36">
        <v>4</v>
      </c>
      <c r="O29" s="43" t="str">
        <f ca="1">IF($B$2="","4. Gruppe C",INDIRECT(ADDRESS(MATCH(N29,$A$1:$A$20,0),MATCH(M29,$A$6:$AE$6,0))))</f>
        <v>GW Wuppertal</v>
      </c>
      <c r="P29" s="45"/>
      <c r="Q29" s="36">
        <v>43</v>
      </c>
      <c r="R29" s="44" t="s">
        <v>23</v>
      </c>
      <c r="S29" s="47">
        <v>37</v>
      </c>
      <c r="T29" s="46">
        <f t="shared" si="0"/>
        <v>2</v>
      </c>
      <c r="U29" s="44" t="s">
        <v>23</v>
      </c>
      <c r="V29" s="47">
        <f t="shared" si="1"/>
        <v>0</v>
      </c>
      <c r="X29" s="44" t="s">
        <v>44</v>
      </c>
      <c r="Y29" s="44" t="s">
        <v>44</v>
      </c>
      <c r="AA29" s="36" t="s">
        <v>82</v>
      </c>
      <c r="AB29" s="36" t="s">
        <v>91</v>
      </c>
    </row>
    <row r="30" spans="2:28" ht="12.75">
      <c r="B30" s="48"/>
      <c r="C30" s="167"/>
      <c r="D30" s="48">
        <f t="shared" si="2"/>
        <v>88</v>
      </c>
      <c r="E30" s="48">
        <v>4</v>
      </c>
      <c r="F30" s="49" t="s">
        <v>19</v>
      </c>
      <c r="G30" s="48">
        <v>14</v>
      </c>
      <c r="H30" s="50" t="str">
        <f ca="1">IF($O$2="","4. Gruppe H",INDIRECT(ADDRESS(MATCH(G30,$A$1:$A$20,0),MATCH(F30,$A$6:$AE$6,0))))</f>
        <v>Linden Dahlhauser TV</v>
      </c>
      <c r="I30" s="51" t="s">
        <v>24</v>
      </c>
      <c r="J30" s="49" t="s">
        <v>19</v>
      </c>
      <c r="K30" s="48">
        <v>5</v>
      </c>
      <c r="L30" s="50" t="str">
        <f ca="1">IF($O$2="","5. Gruppe G",INDIRECT(ADDRESS(MATCH(K30,$A$1:$A$20,0),MATCH(J30,$A$6:$AE$6,0))))</f>
        <v>SV Weiler</v>
      </c>
      <c r="M30" s="49" t="s">
        <v>17</v>
      </c>
      <c r="N30" s="48">
        <v>5</v>
      </c>
      <c r="O30" s="50" t="str">
        <f ca="1">IF($B$2="","5. Gruppe C",INDIRECT(ADDRESS(MATCH(N30,$A$1:$A$20,0),MATCH(M30,$A$6:$AE$6,0))))</f>
        <v>VfL Waiblingen</v>
      </c>
      <c r="P30" s="52"/>
      <c r="Q30" s="48">
        <v>50</v>
      </c>
      <c r="R30" s="51" t="s">
        <v>23</v>
      </c>
      <c r="S30" s="54">
        <v>47</v>
      </c>
      <c r="T30" s="53">
        <f t="shared" si="0"/>
        <v>2</v>
      </c>
      <c r="U30" s="51" t="s">
        <v>23</v>
      </c>
      <c r="V30" s="54">
        <f t="shared" si="1"/>
        <v>0</v>
      </c>
      <c r="X30" s="51" t="s">
        <v>44</v>
      </c>
      <c r="Y30" s="51" t="s">
        <v>44</v>
      </c>
      <c r="AA30" s="36" t="s">
        <v>82</v>
      </c>
      <c r="AB30" s="36" t="s">
        <v>91</v>
      </c>
    </row>
    <row r="31" spans="2:28" ht="12.75" customHeight="1">
      <c r="B31" s="36">
        <f>+B27+1</f>
        <v>28</v>
      </c>
      <c r="C31" s="41">
        <f>+Daten!P7</f>
        <v>0.4097222222222222</v>
      </c>
      <c r="D31" s="36">
        <f t="shared" si="2"/>
        <v>89</v>
      </c>
      <c r="E31" s="36">
        <v>1</v>
      </c>
      <c r="F31" s="42" t="s">
        <v>16</v>
      </c>
      <c r="G31" s="36"/>
      <c r="H31" s="43" t="str">
        <f>IF($T$23="","Platz 9 / V. "&amp;D23,IF(T23=0,H23,L23))</f>
        <v>VfL Waiblingen</v>
      </c>
      <c r="I31" s="44" t="s">
        <v>24</v>
      </c>
      <c r="J31" s="42" t="s">
        <v>16</v>
      </c>
      <c r="K31" s="36"/>
      <c r="L31" s="43" t="str">
        <f>IF($T$24="","V. "&amp;D24,IF(T24=0,H24,L24))</f>
        <v>SV Weiler</v>
      </c>
      <c r="M31" s="42" t="s">
        <v>18</v>
      </c>
      <c r="N31" s="36">
        <v>15</v>
      </c>
      <c r="O31" s="43" t="str">
        <f ca="1">IF($O$2="","5. Gruppe H",INDIRECT(ADDRESS(MATCH(N31,$A$1:$A$20,0),MATCH(M31,$A$6:$AE$6,0))))</f>
        <v>TV Berkenbaum </v>
      </c>
      <c r="P31" s="45"/>
      <c r="Q31" s="36">
        <v>28</v>
      </c>
      <c r="R31" s="44" t="s">
        <v>23</v>
      </c>
      <c r="S31" s="47">
        <v>35</v>
      </c>
      <c r="T31" s="46">
        <f t="shared" si="0"/>
        <v>0</v>
      </c>
      <c r="U31" s="44" t="s">
        <v>23</v>
      </c>
      <c r="V31" s="47">
        <f t="shared" si="1"/>
        <v>2</v>
      </c>
      <c r="X31" s="44" t="s">
        <v>44</v>
      </c>
      <c r="Y31" s="44" t="s">
        <v>44</v>
      </c>
      <c r="AA31" s="36" t="s">
        <v>83</v>
      </c>
      <c r="AB31" s="28" t="s">
        <v>89</v>
      </c>
    </row>
    <row r="32" spans="2:28" ht="12.75">
      <c r="B32" s="36"/>
      <c r="C32" s="36"/>
      <c r="D32" s="36">
        <f t="shared" si="2"/>
        <v>90</v>
      </c>
      <c r="E32" s="36">
        <v>2</v>
      </c>
      <c r="F32" s="42" t="s">
        <v>16</v>
      </c>
      <c r="G32" s="55"/>
      <c r="H32" s="43" t="str">
        <f>IF($T$23="","Platz 7 / S. "&amp;D23,IF(T23=2,H23,L23))</f>
        <v>TV Freiburg St. Georgen</v>
      </c>
      <c r="I32" s="115" t="s">
        <v>24</v>
      </c>
      <c r="J32" s="42" t="s">
        <v>16</v>
      </c>
      <c r="K32" s="55"/>
      <c r="L32" s="43" t="str">
        <f>IF($T$24="","S. "&amp;D24,IF(T24=2,H24,L24))</f>
        <v>TV Hochneukirch</v>
      </c>
      <c r="M32" s="56" t="s">
        <v>18</v>
      </c>
      <c r="N32" s="55">
        <v>14</v>
      </c>
      <c r="O32" s="43" t="str">
        <f ca="1">IF($O$2="","4. Gruppe H",INDIRECT(ADDRESS(MATCH(N32,$A$1:$A$20,0),MATCH(M32,$A$6:$AE$6,0))))</f>
        <v>TSV Marienfelde</v>
      </c>
      <c r="P32" s="45"/>
      <c r="Q32" s="36">
        <v>43</v>
      </c>
      <c r="R32" s="44" t="s">
        <v>23</v>
      </c>
      <c r="S32" s="47">
        <v>30</v>
      </c>
      <c r="T32" s="46">
        <f t="shared" si="0"/>
        <v>2</v>
      </c>
      <c r="U32" s="44" t="s">
        <v>23</v>
      </c>
      <c r="V32" s="47">
        <f t="shared" si="1"/>
        <v>0</v>
      </c>
      <c r="X32" s="44" t="s">
        <v>44</v>
      </c>
      <c r="Y32" s="44" t="s">
        <v>44</v>
      </c>
      <c r="AA32" s="36" t="s">
        <v>83</v>
      </c>
      <c r="AB32" s="28" t="s">
        <v>90</v>
      </c>
    </row>
    <row r="33" spans="2:28" ht="12.75">
      <c r="B33" s="36"/>
      <c r="C33" s="36"/>
      <c r="D33" s="36">
        <f t="shared" si="2"/>
        <v>91</v>
      </c>
      <c r="E33" s="36">
        <v>3</v>
      </c>
      <c r="F33" s="42" t="s">
        <v>17</v>
      </c>
      <c r="G33" s="36"/>
      <c r="H33" s="43" t="str">
        <f>IF($T$25="","Platz 9 / V. "&amp;D25,IF(T25=0,H25,L25))</f>
        <v>GW Wuppertal</v>
      </c>
      <c r="I33" s="44" t="s">
        <v>24</v>
      </c>
      <c r="J33" s="42" t="s">
        <v>17</v>
      </c>
      <c r="K33" s="36"/>
      <c r="L33" s="43" t="str">
        <f>IF($T$26="","V. "&amp;D26,IF(T26=0,H26,L26))</f>
        <v>TuS Harsefeld</v>
      </c>
      <c r="M33" s="42" t="s">
        <v>19</v>
      </c>
      <c r="N33" s="36">
        <v>14</v>
      </c>
      <c r="O33" s="43" t="str">
        <f ca="1">IF($O$2="","4. Gruppe F",INDIRECT(ADDRESS(MATCH(N33,$A$1:$A$20,0),MATCH(M33,$A$6:$AE$6,0))))</f>
        <v>Linden Dahlhauser TV</v>
      </c>
      <c r="P33" s="45"/>
      <c r="Q33" s="36">
        <v>41</v>
      </c>
      <c r="R33" s="44" t="s">
        <v>23</v>
      </c>
      <c r="S33" s="47">
        <v>40</v>
      </c>
      <c r="T33" s="46">
        <f t="shared" si="0"/>
        <v>2</v>
      </c>
      <c r="U33" s="44" t="s">
        <v>23</v>
      </c>
      <c r="V33" s="47">
        <f t="shared" si="1"/>
        <v>0</v>
      </c>
      <c r="X33" s="44" t="s">
        <v>44</v>
      </c>
      <c r="Y33" s="44" t="s">
        <v>44</v>
      </c>
      <c r="AA33" s="36" t="s">
        <v>83</v>
      </c>
      <c r="AB33" s="28" t="s">
        <v>89</v>
      </c>
    </row>
    <row r="34" spans="2:28" ht="12.75">
      <c r="B34" s="48"/>
      <c r="C34" s="48"/>
      <c r="D34" s="48">
        <f t="shared" si="2"/>
        <v>92</v>
      </c>
      <c r="E34" s="48">
        <v>4</v>
      </c>
      <c r="F34" s="49" t="s">
        <v>17</v>
      </c>
      <c r="G34" s="48"/>
      <c r="H34" s="50" t="str">
        <f>IF($T$25="","Platz 7 / S. "&amp;D25,IF(T25=2,H25,L25))</f>
        <v>TSV Ludwigshafen</v>
      </c>
      <c r="I34" s="51" t="s">
        <v>24</v>
      </c>
      <c r="J34" s="49" t="s">
        <v>17</v>
      </c>
      <c r="K34" s="48"/>
      <c r="L34" s="50" t="str">
        <f>IF($T$26="","S. "&amp;D26,IF(T26=2,H26,L26))</f>
        <v>VfL Waiblingen</v>
      </c>
      <c r="M34" s="49" t="s">
        <v>19</v>
      </c>
      <c r="N34" s="48">
        <v>15</v>
      </c>
      <c r="O34" s="50" t="str">
        <f ca="1">IF($O$2="","5. Gruppe F",INDIRECT(ADDRESS(MATCH(N34,$A$1:$A$20,0),MATCH(M34,$A$6:$AE$6,0))))</f>
        <v>VfL Waiblingen</v>
      </c>
      <c r="P34" s="52"/>
      <c r="Q34" s="48">
        <v>38</v>
      </c>
      <c r="R34" s="51" t="s">
        <v>23</v>
      </c>
      <c r="S34" s="54">
        <v>41</v>
      </c>
      <c r="T34" s="53">
        <f t="shared" si="0"/>
        <v>0</v>
      </c>
      <c r="U34" s="51" t="s">
        <v>23</v>
      </c>
      <c r="V34" s="54">
        <f t="shared" si="1"/>
        <v>2</v>
      </c>
      <c r="X34" s="51" t="s">
        <v>44</v>
      </c>
      <c r="Y34" s="51" t="s">
        <v>44</v>
      </c>
      <c r="AA34" s="36" t="s">
        <v>83</v>
      </c>
      <c r="AB34" s="28" t="s">
        <v>90</v>
      </c>
    </row>
    <row r="35" spans="2:28" ht="12.75">
      <c r="B35" s="36">
        <f>+B31+1</f>
        <v>29</v>
      </c>
      <c r="C35" s="41">
        <f>+Daten!P8</f>
        <v>0.4270833333333333</v>
      </c>
      <c r="D35" s="36">
        <f t="shared" si="2"/>
        <v>93</v>
      </c>
      <c r="E35" s="36">
        <v>1</v>
      </c>
      <c r="F35" s="42" t="s">
        <v>18</v>
      </c>
      <c r="G35" s="36"/>
      <c r="H35" s="43" t="str">
        <f>IF($T$27="","Platz 9 / V. "&amp;D27,IF(T27=0,H27,L27))</f>
        <v>TV Hochneukirch</v>
      </c>
      <c r="I35" s="44" t="s">
        <v>24</v>
      </c>
      <c r="J35" s="42" t="s">
        <v>18</v>
      </c>
      <c r="K35" s="36"/>
      <c r="L35" s="43" t="str">
        <f>IF($T$28="","V. "&amp;D28,IF(T28=0,H28,L28))</f>
        <v>TSV Marienfelde</v>
      </c>
      <c r="M35" s="42" t="s">
        <v>16</v>
      </c>
      <c r="N35" s="36">
        <v>14</v>
      </c>
      <c r="O35" s="43" t="str">
        <f ca="1">IF($L$2="","4. Gruppe B",INDIRECT(ADDRESS(MATCH(N35,$A$1:$A$20,0),MATCH(M35,$A$6:$AE$6,0))))</f>
        <v>TV Hochneukirch</v>
      </c>
      <c r="P35" s="45"/>
      <c r="Q35" s="36">
        <v>41</v>
      </c>
      <c r="R35" s="44" t="s">
        <v>23</v>
      </c>
      <c r="S35" s="47">
        <v>37</v>
      </c>
      <c r="T35" s="46">
        <f t="shared" si="0"/>
        <v>2</v>
      </c>
      <c r="U35" s="44" t="s">
        <v>23</v>
      </c>
      <c r="V35" s="47">
        <f t="shared" si="1"/>
        <v>0</v>
      </c>
      <c r="X35" s="44" t="s">
        <v>44</v>
      </c>
      <c r="Y35" s="44" t="s">
        <v>44</v>
      </c>
      <c r="AA35" s="36" t="s">
        <v>83</v>
      </c>
      <c r="AB35" s="28" t="s">
        <v>89</v>
      </c>
    </row>
    <row r="36" spans="2:28" ht="12.75">
      <c r="B36" s="36"/>
      <c r="C36" s="36"/>
      <c r="D36" s="36">
        <f t="shared" si="2"/>
        <v>94</v>
      </c>
      <c r="E36" s="36">
        <v>2</v>
      </c>
      <c r="F36" s="42" t="s">
        <v>18</v>
      </c>
      <c r="G36" s="36"/>
      <c r="H36" s="43" t="str">
        <f>IF($T$27="","Platz 7 / S. "&amp;D27,IF(T27=2,H27,L27))</f>
        <v>TV Berkenbaum </v>
      </c>
      <c r="I36" s="44" t="s">
        <v>24</v>
      </c>
      <c r="J36" s="42" t="s">
        <v>18</v>
      </c>
      <c r="K36" s="36"/>
      <c r="L36" s="43" t="str">
        <f>IF($T$28="","S. "&amp;D28,IF(T28=2,H28,L28))</f>
        <v>TSV Babenhausen</v>
      </c>
      <c r="M36" s="42" t="s">
        <v>16</v>
      </c>
      <c r="N36" s="36">
        <v>15</v>
      </c>
      <c r="O36" s="43" t="str">
        <f ca="1">IF($L$2="","5. Gruppe B",INDIRECT(ADDRESS(MATCH(N36,$A$1:$A$20,0),MATCH(M36,$A$6:$AE$6,0))))</f>
        <v>VfL Waiblingen</v>
      </c>
      <c r="P36" s="45"/>
      <c r="Q36" s="36">
        <v>36</v>
      </c>
      <c r="R36" s="44" t="s">
        <v>23</v>
      </c>
      <c r="S36" s="47">
        <v>33</v>
      </c>
      <c r="T36" s="46">
        <f t="shared" si="0"/>
        <v>2</v>
      </c>
      <c r="U36" s="44" t="s">
        <v>23</v>
      </c>
      <c r="V36" s="47">
        <f t="shared" si="1"/>
        <v>0</v>
      </c>
      <c r="X36" s="44" t="s">
        <v>44</v>
      </c>
      <c r="Y36" s="44" t="s">
        <v>44</v>
      </c>
      <c r="AA36" s="36" t="s">
        <v>83</v>
      </c>
      <c r="AB36" s="28" t="s">
        <v>90</v>
      </c>
    </row>
    <row r="37" spans="2:28" ht="12.75">
      <c r="B37" s="36"/>
      <c r="C37" s="36"/>
      <c r="D37" s="36">
        <f t="shared" si="2"/>
        <v>95</v>
      </c>
      <c r="E37" s="36">
        <v>3</v>
      </c>
      <c r="F37" s="42" t="s">
        <v>19</v>
      </c>
      <c r="G37" s="36"/>
      <c r="H37" s="43" t="str">
        <f>IF($T$29="","Platz 9 / V. "&amp;D29,IF(T29=0,H29,L29))</f>
        <v>VfL Waiblingen</v>
      </c>
      <c r="I37" s="44" t="s">
        <v>24</v>
      </c>
      <c r="J37" s="42" t="s">
        <v>19</v>
      </c>
      <c r="K37" s="36"/>
      <c r="L37" s="43" t="str">
        <f>IF($T$30="","V. "&amp;D30,IF(T30=0,H30,L30))</f>
        <v>SV Weiler</v>
      </c>
      <c r="M37" s="42" t="s">
        <v>17</v>
      </c>
      <c r="N37" s="36">
        <v>15</v>
      </c>
      <c r="O37" s="43" t="str">
        <f ca="1">IF($B$2="","5. Gruppe D",INDIRECT(ADDRESS(MATCH(N37,$A$1:$A$20,0),MATCH(M37,$A$6:$AE$6,0))))</f>
        <v>TSV Ludwigshafen</v>
      </c>
      <c r="P37" s="45"/>
      <c r="Q37" s="36">
        <v>41</v>
      </c>
      <c r="R37" s="44" t="s">
        <v>23</v>
      </c>
      <c r="S37" s="47">
        <v>42</v>
      </c>
      <c r="T37" s="46">
        <f t="shared" si="0"/>
        <v>0</v>
      </c>
      <c r="U37" s="44" t="s">
        <v>23</v>
      </c>
      <c r="V37" s="47">
        <f t="shared" si="1"/>
        <v>2</v>
      </c>
      <c r="X37" s="44" t="s">
        <v>44</v>
      </c>
      <c r="Y37" s="44" t="s">
        <v>44</v>
      </c>
      <c r="AA37" s="36" t="s">
        <v>83</v>
      </c>
      <c r="AB37" s="28" t="s">
        <v>89</v>
      </c>
    </row>
    <row r="38" spans="2:28" ht="12.75">
      <c r="B38" s="48"/>
      <c r="C38" s="167"/>
      <c r="D38" s="48">
        <f t="shared" si="2"/>
        <v>96</v>
      </c>
      <c r="E38" s="48">
        <v>4</v>
      </c>
      <c r="F38" s="49" t="s">
        <v>19</v>
      </c>
      <c r="G38" s="48"/>
      <c r="H38" s="50" t="str">
        <f>IF($T$29="","Platz 7 / S. "&amp;D29,IF(T29=2,H29,L29))</f>
        <v>TV Zeilhard</v>
      </c>
      <c r="I38" s="51" t="s">
        <v>24</v>
      </c>
      <c r="J38" s="49" t="s">
        <v>19</v>
      </c>
      <c r="K38" s="48"/>
      <c r="L38" s="50" t="str">
        <f>IF($T$30="","S. "&amp;D30,IF(T30=2,H30,L30))</f>
        <v>Linden Dahlhauser TV</v>
      </c>
      <c r="M38" s="49" t="s">
        <v>17</v>
      </c>
      <c r="N38" s="48">
        <v>14</v>
      </c>
      <c r="O38" s="50" t="str">
        <f ca="1">IF($B$2="","4. Gruppe D",INDIRECT(ADDRESS(MATCH(N38,$A$1:$A$20,0),MATCH(M38,$A$6:$AE$6,0))))</f>
        <v>TuS Harsefeld</v>
      </c>
      <c r="P38" s="52"/>
      <c r="Q38" s="48">
        <v>44</v>
      </c>
      <c r="R38" s="51" t="s">
        <v>23</v>
      </c>
      <c r="S38" s="54">
        <v>40</v>
      </c>
      <c r="T38" s="53">
        <f t="shared" si="0"/>
        <v>2</v>
      </c>
      <c r="U38" s="51" t="s">
        <v>23</v>
      </c>
      <c r="V38" s="54">
        <f t="shared" si="1"/>
        <v>0</v>
      </c>
      <c r="X38" s="51" t="s">
        <v>44</v>
      </c>
      <c r="Y38" s="51" t="s">
        <v>44</v>
      </c>
      <c r="AA38" s="36" t="s">
        <v>83</v>
      </c>
      <c r="AB38" s="28" t="s">
        <v>90</v>
      </c>
    </row>
    <row r="39" spans="2:28" ht="12.75">
      <c r="B39" s="36">
        <f>+B35+1</f>
        <v>30</v>
      </c>
      <c r="C39" s="41">
        <f>+Daten!P9</f>
        <v>0.4583333333333333</v>
      </c>
      <c r="D39" s="36">
        <f t="shared" si="2"/>
        <v>97</v>
      </c>
      <c r="E39" s="36">
        <v>1</v>
      </c>
      <c r="F39" s="42" t="s">
        <v>16</v>
      </c>
      <c r="G39" s="36">
        <v>2</v>
      </c>
      <c r="H39" s="43" t="str">
        <f ca="1">IF($L$2="","2. Gruppe A",INDIRECT(ADDRESS(MATCH(G39,$A$1:$A$20,0),MATCH(F39,$A$6:$AE$6,0))))</f>
        <v>TB Essen-Altendorf</v>
      </c>
      <c r="I39" s="44" t="s">
        <v>24</v>
      </c>
      <c r="J39" s="42" t="s">
        <v>16</v>
      </c>
      <c r="K39" s="36">
        <v>13</v>
      </c>
      <c r="L39" s="43" t="str">
        <f ca="1">IF($L$2="","3. Gruppe B",INDIRECT(ADDRESS(MATCH(K39,$A$1:$A$20,0),MATCH(J39,$A$6:$AE$6,0))))</f>
        <v>BTV Charlottenburg</v>
      </c>
      <c r="M39" s="42" t="s">
        <v>16</v>
      </c>
      <c r="N39" s="36">
        <v>12</v>
      </c>
      <c r="O39" s="43" t="str">
        <f ca="1">IF($L$2="","2. Gruppe B",INDIRECT(ADDRESS(MATCH(N39,$A$1:$A$20,0),MATCH(M39,$A$6:$AE$6,0))))</f>
        <v>TV Zeilhard </v>
      </c>
      <c r="P39" s="45"/>
      <c r="Q39" s="36">
        <v>38</v>
      </c>
      <c r="R39" s="44" t="s">
        <v>23</v>
      </c>
      <c r="S39" s="47">
        <v>32</v>
      </c>
      <c r="T39" s="46">
        <f t="shared" si="0"/>
        <v>2</v>
      </c>
      <c r="U39" s="44" t="s">
        <v>23</v>
      </c>
      <c r="V39" s="47">
        <f t="shared" si="1"/>
        <v>0</v>
      </c>
      <c r="X39" s="44" t="s">
        <v>44</v>
      </c>
      <c r="Y39" s="44" t="s">
        <v>44</v>
      </c>
      <c r="AA39" s="36" t="s">
        <v>84</v>
      </c>
      <c r="AB39" s="28" t="s">
        <v>92</v>
      </c>
    </row>
    <row r="40" spans="2:28" ht="12.75">
      <c r="B40" s="36"/>
      <c r="C40" s="36"/>
      <c r="D40" s="36">
        <f t="shared" si="2"/>
        <v>98</v>
      </c>
      <c r="E40" s="36">
        <v>2</v>
      </c>
      <c r="F40" s="42" t="s">
        <v>17</v>
      </c>
      <c r="G40" s="36">
        <v>2</v>
      </c>
      <c r="H40" s="43" t="str">
        <f ca="1">IF($B$2="","2. Gruppe C",INDIRECT(ADDRESS(MATCH(G40,$A$1:$A$20,0),MATCH(F40,$A$6:$AE$6,0))))</f>
        <v>TV Mahndorf</v>
      </c>
      <c r="I40" s="44" t="s">
        <v>24</v>
      </c>
      <c r="J40" s="42" t="s">
        <v>17</v>
      </c>
      <c r="K40" s="36">
        <v>13</v>
      </c>
      <c r="L40" s="43" t="str">
        <f ca="1">IF($B$2="","3. Gruppe D",INDIRECT(ADDRESS(MATCH(K40,$A$1:$A$20,0),MATCH(J40,$A$6:$AE$6,0))))</f>
        <v>TV Zeilhard </v>
      </c>
      <c r="M40" s="42" t="s">
        <v>17</v>
      </c>
      <c r="N40" s="36">
        <v>12</v>
      </c>
      <c r="O40" s="43" t="str">
        <f ca="1">IF($B$2="","2. Gruppe D",INDIRECT(ADDRESS(MATCH(N40,$A$1:$A$20,0),MATCH(M40,$A$6:$AE$6,0))))</f>
        <v>MTV Markoldendorf</v>
      </c>
      <c r="P40" s="45"/>
      <c r="Q40" s="36">
        <v>37</v>
      </c>
      <c r="R40" s="44" t="s">
        <v>23</v>
      </c>
      <c r="S40" s="47">
        <v>38</v>
      </c>
      <c r="T40" s="46">
        <f aca="true" t="shared" si="3" ref="T40:T55">IF(Q40="","",IF(Q40&gt;S40,2,IF(Q40&lt;S40,0,1)))</f>
        <v>0</v>
      </c>
      <c r="U40" s="44" t="s">
        <v>23</v>
      </c>
      <c r="V40" s="47">
        <f aca="true" t="shared" si="4" ref="V40:V55">IF(S40="","",IF(S40&gt;Q40,2,IF(S40&lt;Q40,0,1)))</f>
        <v>2</v>
      </c>
      <c r="X40" s="44" t="s">
        <v>44</v>
      </c>
      <c r="Y40" s="44" t="s">
        <v>44</v>
      </c>
      <c r="AA40" s="36" t="s">
        <v>84</v>
      </c>
      <c r="AB40" s="28" t="s">
        <v>92</v>
      </c>
    </row>
    <row r="41" spans="2:28" ht="12.75">
      <c r="B41" s="36"/>
      <c r="C41" s="36"/>
      <c r="D41" s="36">
        <f t="shared" si="2"/>
        <v>99</v>
      </c>
      <c r="E41" s="36">
        <v>3</v>
      </c>
      <c r="F41" s="42" t="s">
        <v>18</v>
      </c>
      <c r="G41" s="36">
        <v>2</v>
      </c>
      <c r="H41" s="43" t="str">
        <f ca="1">IF($H$2="","2. Gruppe E",INDIRECT(ADDRESS(MATCH(G41,$A$1:$A$20,0),MATCH(F41,$A$6:$AE$6,0))))</f>
        <v>TV Zeilhard</v>
      </c>
      <c r="I41" s="44" t="s">
        <v>24</v>
      </c>
      <c r="J41" s="42" t="s">
        <v>18</v>
      </c>
      <c r="K41" s="36">
        <v>13</v>
      </c>
      <c r="L41" s="43" t="str">
        <f ca="1">IF($H$2="","3. Gruppe F",INDIRECT(ADDRESS(MATCH(K41,$A$1:$A$20,0),MATCH(J41,$A$6:$AE$6,0))))</f>
        <v>VfL Waiblingen</v>
      </c>
      <c r="M41" s="42" t="s">
        <v>18</v>
      </c>
      <c r="N41" s="36">
        <v>12</v>
      </c>
      <c r="O41" s="43" t="str">
        <f ca="1">IF($H$2="","2. Gruppe F",INDIRECT(ADDRESS(MATCH(N41,$A$1:$A$20,0),MATCH(M41,$A$6:$AE$6,0))))</f>
        <v>TV Hemer </v>
      </c>
      <c r="P41" s="45"/>
      <c r="Q41" s="36">
        <v>34</v>
      </c>
      <c r="R41" s="44" t="s">
        <v>23</v>
      </c>
      <c r="S41" s="47">
        <v>35</v>
      </c>
      <c r="T41" s="46">
        <f t="shared" si="3"/>
        <v>0</v>
      </c>
      <c r="U41" s="44" t="s">
        <v>23</v>
      </c>
      <c r="V41" s="47">
        <f t="shared" si="4"/>
        <v>2</v>
      </c>
      <c r="X41" s="44" t="s">
        <v>44</v>
      </c>
      <c r="Y41" s="44" t="s">
        <v>44</v>
      </c>
      <c r="AA41" s="36" t="s">
        <v>84</v>
      </c>
      <c r="AB41" s="28" t="s">
        <v>92</v>
      </c>
    </row>
    <row r="42" spans="2:28" ht="12.75">
      <c r="B42" s="48"/>
      <c r="C42" s="48"/>
      <c r="D42" s="48">
        <f t="shared" si="2"/>
        <v>100</v>
      </c>
      <c r="E42" s="48">
        <v>4</v>
      </c>
      <c r="F42" s="49" t="s">
        <v>19</v>
      </c>
      <c r="G42" s="48">
        <v>2</v>
      </c>
      <c r="H42" s="50" t="str">
        <f ca="1">IF($O$2="","2. Gruppe G",INDIRECT(ADDRESS(MATCH(G42,$A$1:$A$20,0),MATCH(F42,$A$6:$AE$6,0))))</f>
        <v>TV Kierdorf</v>
      </c>
      <c r="I42" s="51" t="s">
        <v>24</v>
      </c>
      <c r="J42" s="49" t="s">
        <v>19</v>
      </c>
      <c r="K42" s="48">
        <v>13</v>
      </c>
      <c r="L42" s="50" t="str">
        <f ca="1">IF($O$2="","3. Gruppe H",INDIRECT(ADDRESS(MATCH(K42,$A$1:$A$20,0),MATCH(J42,$A$6:$AE$6,0))))</f>
        <v>TSV Burgdorf</v>
      </c>
      <c r="M42" s="49" t="s">
        <v>19</v>
      </c>
      <c r="N42" s="48">
        <v>12</v>
      </c>
      <c r="O42" s="50" t="str">
        <f ca="1">IF($O$2="","2. Gruppe H",INDIRECT(ADDRESS(MATCH(N42,$A$1:$A$20,0),MATCH(M42,$A$6:$AE$6,0))))</f>
        <v>MTV Jahn Schladen</v>
      </c>
      <c r="P42" s="52"/>
      <c r="Q42" s="48">
        <v>55</v>
      </c>
      <c r="R42" s="51" t="s">
        <v>23</v>
      </c>
      <c r="S42" s="54">
        <v>53</v>
      </c>
      <c r="T42" s="53">
        <f t="shared" si="3"/>
        <v>2</v>
      </c>
      <c r="U42" s="51" t="s">
        <v>23</v>
      </c>
      <c r="V42" s="54">
        <f t="shared" si="4"/>
        <v>0</v>
      </c>
      <c r="X42" s="51" t="s">
        <v>44</v>
      </c>
      <c r="Y42" s="51" t="s">
        <v>44</v>
      </c>
      <c r="AA42" s="36" t="s">
        <v>84</v>
      </c>
      <c r="AB42" s="28" t="s">
        <v>92</v>
      </c>
    </row>
    <row r="43" spans="2:28" ht="12.75">
      <c r="B43" s="36">
        <f>+B39+1</f>
        <v>31</v>
      </c>
      <c r="C43" s="41">
        <f>+Daten!P10</f>
        <v>0.4756944444444444</v>
      </c>
      <c r="D43" s="36">
        <f t="shared" si="2"/>
        <v>101</v>
      </c>
      <c r="E43" s="36">
        <v>1</v>
      </c>
      <c r="F43" s="42" t="s">
        <v>16</v>
      </c>
      <c r="G43" s="36">
        <v>12</v>
      </c>
      <c r="H43" s="43" t="str">
        <f ca="1">IF($L$2="","2. Gruppe B",INDIRECT(ADDRESS(MATCH(G43,$A$1:$A$20,0),MATCH(F43,$A$6:$AE$6,0))))</f>
        <v>TV Zeilhard </v>
      </c>
      <c r="I43" s="44" t="s">
        <v>24</v>
      </c>
      <c r="J43" s="42" t="s">
        <v>16</v>
      </c>
      <c r="K43" s="36">
        <v>3</v>
      </c>
      <c r="L43" s="43" t="str">
        <f ca="1">IF($L$2="","3. Gruppe A",INDIRECT(ADDRESS(MATCH(K43,$A$1:$A$20,0),MATCH(J43,$A$6:$AE$6,0))))</f>
        <v>PV Gundernhausen </v>
      </c>
      <c r="M43" s="42" t="s">
        <v>16</v>
      </c>
      <c r="N43" s="36">
        <v>2</v>
      </c>
      <c r="O43" s="43" t="str">
        <f ca="1">IF($L$2="","2. Gruppe A",INDIRECT(ADDRESS(MATCH(N43,$A$1:$A$20,0),MATCH(M43,$A$6:$AE$6,0))))</f>
        <v>TB Essen-Altendorf</v>
      </c>
      <c r="P43" s="45"/>
      <c r="Q43" s="36">
        <v>42</v>
      </c>
      <c r="R43" s="44" t="s">
        <v>23</v>
      </c>
      <c r="S43" s="47">
        <v>32</v>
      </c>
      <c r="T43" s="46">
        <f t="shared" si="3"/>
        <v>2</v>
      </c>
      <c r="U43" s="44" t="s">
        <v>23</v>
      </c>
      <c r="V43" s="47">
        <f t="shared" si="4"/>
        <v>0</v>
      </c>
      <c r="X43" s="44" t="s">
        <v>44</v>
      </c>
      <c r="Y43" s="44" t="s">
        <v>44</v>
      </c>
      <c r="AA43" s="36" t="s">
        <v>84</v>
      </c>
      <c r="AB43" s="28" t="s">
        <v>92</v>
      </c>
    </row>
    <row r="44" spans="2:28" ht="12.75">
      <c r="B44" s="36"/>
      <c r="C44" s="36"/>
      <c r="D44" s="36">
        <f t="shared" si="2"/>
        <v>102</v>
      </c>
      <c r="E44" s="36">
        <v>2</v>
      </c>
      <c r="F44" s="42" t="s">
        <v>17</v>
      </c>
      <c r="G44" s="36">
        <v>12</v>
      </c>
      <c r="H44" s="43" t="str">
        <f ca="1">IF($B$2="","2. Gruppe D",INDIRECT(ADDRESS(MATCH(G44,$A$1:$A$20,0),MATCH(F44,$A$6:$AE$6,0))))</f>
        <v>MTV Markoldendorf</v>
      </c>
      <c r="I44" s="44" t="s">
        <v>24</v>
      </c>
      <c r="J44" s="42" t="s">
        <v>17</v>
      </c>
      <c r="K44" s="36">
        <v>3</v>
      </c>
      <c r="L44" s="43" t="str">
        <f ca="1">IF($B$2="","3. Gruppe C",INDIRECT(ADDRESS(MATCH(K44,$A$1:$A$20,0),MATCH(J44,$A$6:$AE$6,0))))</f>
        <v>PV Gundernhausen</v>
      </c>
      <c r="M44" s="42" t="s">
        <v>17</v>
      </c>
      <c r="N44" s="36">
        <v>2</v>
      </c>
      <c r="O44" s="43" t="str">
        <f ca="1">IF($B$2="","2. Gruppe C",INDIRECT(ADDRESS(MATCH(N44,$A$1:$A$20,0),MATCH(M44,$A$6:$AE$6,0))))</f>
        <v>TV Mahndorf</v>
      </c>
      <c r="P44" s="45"/>
      <c r="Q44" s="36">
        <v>35</v>
      </c>
      <c r="R44" s="44" t="s">
        <v>23</v>
      </c>
      <c r="S44" s="47">
        <v>32</v>
      </c>
      <c r="T44" s="46">
        <f t="shared" si="3"/>
        <v>2</v>
      </c>
      <c r="U44" s="44" t="s">
        <v>23</v>
      </c>
      <c r="V44" s="47">
        <f t="shared" si="4"/>
        <v>0</v>
      </c>
      <c r="X44" s="44" t="s">
        <v>44</v>
      </c>
      <c r="Y44" s="44" t="s">
        <v>44</v>
      </c>
      <c r="AA44" s="36" t="s">
        <v>84</v>
      </c>
      <c r="AB44" s="28" t="s">
        <v>92</v>
      </c>
    </row>
    <row r="45" spans="2:28" ht="12.75">
      <c r="B45" s="36"/>
      <c r="C45" s="36"/>
      <c r="D45" s="36">
        <f t="shared" si="2"/>
        <v>103</v>
      </c>
      <c r="E45" s="36">
        <v>3</v>
      </c>
      <c r="F45" s="42" t="s">
        <v>18</v>
      </c>
      <c r="G45" s="36">
        <v>12</v>
      </c>
      <c r="H45" s="43" t="str">
        <f ca="1">IF($H$2="","2. Gruppe F",INDIRECT(ADDRESS(MATCH(G45,$A$1:$A$20,0),MATCH(F45,$A$6:$AE$6,0))))</f>
        <v>TV Hemer </v>
      </c>
      <c r="I45" s="44" t="s">
        <v>24</v>
      </c>
      <c r="J45" s="42" t="s">
        <v>18</v>
      </c>
      <c r="K45" s="36">
        <v>3</v>
      </c>
      <c r="L45" s="43" t="str">
        <f ca="1">IF($H$2="","3. Gruppe E",INDIRECT(ADDRESS(MATCH(K45,$A$1:$A$20,0),MATCH(J45,$A$6:$AE$6,0))))</f>
        <v>TV Freiburg St. Georgen</v>
      </c>
      <c r="M45" s="42" t="s">
        <v>18</v>
      </c>
      <c r="N45" s="36">
        <v>2</v>
      </c>
      <c r="O45" s="43" t="str">
        <f ca="1">IF($H$2="","2. Gruppe E",INDIRECT(ADDRESS(MATCH(N45,$A$1:$A$20,0),MATCH(M45,$A$6:$AE$6,0))))</f>
        <v>TV Zeilhard</v>
      </c>
      <c r="P45" s="45"/>
      <c r="Q45" s="36">
        <v>43</v>
      </c>
      <c r="R45" s="44" t="s">
        <v>23</v>
      </c>
      <c r="S45" s="47">
        <v>29</v>
      </c>
      <c r="T45" s="46">
        <f t="shared" si="3"/>
        <v>2</v>
      </c>
      <c r="U45" s="44" t="s">
        <v>23</v>
      </c>
      <c r="V45" s="47">
        <f t="shared" si="4"/>
        <v>0</v>
      </c>
      <c r="W45" s="43"/>
      <c r="X45" s="44" t="s">
        <v>44</v>
      </c>
      <c r="Y45" s="44" t="s">
        <v>44</v>
      </c>
      <c r="AA45" s="36" t="s">
        <v>84</v>
      </c>
      <c r="AB45" s="28" t="s">
        <v>92</v>
      </c>
    </row>
    <row r="46" spans="2:28" ht="12.75">
      <c r="B46" s="48"/>
      <c r="C46" s="167"/>
      <c r="D46" s="48">
        <f t="shared" si="2"/>
        <v>104</v>
      </c>
      <c r="E46" s="48">
        <v>4</v>
      </c>
      <c r="F46" s="49" t="s">
        <v>19</v>
      </c>
      <c r="G46" s="48">
        <v>12</v>
      </c>
      <c r="H46" s="50" t="str">
        <f ca="1">IF($O$2="","2. Gruppe H",INDIRECT(ADDRESS(MATCH(G46,$A$1:$A$20,0),MATCH(F46,$A$6:$AE$6,0))))</f>
        <v>MTV Jahn Schladen</v>
      </c>
      <c r="I46" s="51" t="s">
        <v>24</v>
      </c>
      <c r="J46" s="49" t="s">
        <v>19</v>
      </c>
      <c r="K46" s="48">
        <v>3</v>
      </c>
      <c r="L46" s="50" t="str">
        <f ca="1">IF($O$2="","3. Gruppe G",INDIRECT(ADDRESS(MATCH(K46,$A$1:$A$20,0),MATCH(J46,$A$6:$AE$6,0))))</f>
        <v>TV Huchenfeld</v>
      </c>
      <c r="M46" s="49" t="s">
        <v>19</v>
      </c>
      <c r="N46" s="48">
        <v>2</v>
      </c>
      <c r="O46" s="50" t="str">
        <f ca="1">IF($O$2="","2. Gruppe G",INDIRECT(ADDRESS(MATCH(N46,$A$1:$A$20,0),MATCH(M46,$A$6:$AE$6,0))))</f>
        <v>TV Kierdorf</v>
      </c>
      <c r="P46" s="52"/>
      <c r="Q46" s="48">
        <v>41</v>
      </c>
      <c r="R46" s="51" t="s">
        <v>23</v>
      </c>
      <c r="S46" s="54">
        <v>36</v>
      </c>
      <c r="T46" s="53">
        <f t="shared" si="3"/>
        <v>2</v>
      </c>
      <c r="U46" s="51" t="s">
        <v>23</v>
      </c>
      <c r="V46" s="54">
        <f t="shared" si="4"/>
        <v>0</v>
      </c>
      <c r="X46" s="51" t="s">
        <v>44</v>
      </c>
      <c r="Y46" s="51" t="s">
        <v>44</v>
      </c>
      <c r="AA46" s="36" t="s">
        <v>84</v>
      </c>
      <c r="AB46" s="28" t="s">
        <v>92</v>
      </c>
    </row>
    <row r="47" spans="2:28" ht="12.75">
      <c r="B47" s="36">
        <f>+B43+1</f>
        <v>32</v>
      </c>
      <c r="C47" s="41">
        <f>+Daten!P11</f>
        <v>0.4930555555555555</v>
      </c>
      <c r="D47" s="36">
        <f t="shared" si="2"/>
        <v>105</v>
      </c>
      <c r="E47" s="36">
        <v>1</v>
      </c>
      <c r="F47" s="42" t="s">
        <v>16</v>
      </c>
      <c r="G47" s="36">
        <v>11</v>
      </c>
      <c r="H47" s="43" t="str">
        <f ca="1">IF($L$2="","1. Gruppe B",INDIRECT(ADDRESS(MATCH(G47,$A$1:$A$20,0),MATCH(F47,$A$6:$AE$6,0))))</f>
        <v>Vegesacker TV</v>
      </c>
      <c r="I47" s="44" t="s">
        <v>24</v>
      </c>
      <c r="J47" s="42" t="s">
        <v>16</v>
      </c>
      <c r="K47" s="36"/>
      <c r="L47" s="43" t="str">
        <f>IF($T$39="","S. "&amp;D39,IF(T39=2,H39,L39))</f>
        <v>TB Essen-Altendorf</v>
      </c>
      <c r="M47" s="42" t="s">
        <v>16</v>
      </c>
      <c r="N47" s="36"/>
      <c r="O47" s="43" t="str">
        <f>IF($T$39="","V. "&amp;D39,IF(T39=0,H39,L39))</f>
        <v>BTV Charlottenburg</v>
      </c>
      <c r="P47" s="45"/>
      <c r="Q47" s="36">
        <v>33</v>
      </c>
      <c r="R47" s="44" t="s">
        <v>23</v>
      </c>
      <c r="S47" s="47">
        <v>41</v>
      </c>
      <c r="T47" s="46">
        <f t="shared" si="3"/>
        <v>0</v>
      </c>
      <c r="U47" s="44" t="s">
        <v>23</v>
      </c>
      <c r="V47" s="47">
        <f t="shared" si="4"/>
        <v>2</v>
      </c>
      <c r="X47" s="44" t="s">
        <v>44</v>
      </c>
      <c r="Y47" s="44" t="s">
        <v>44</v>
      </c>
      <c r="AA47" s="36" t="s">
        <v>85</v>
      </c>
      <c r="AB47" s="28" t="s">
        <v>93</v>
      </c>
    </row>
    <row r="48" spans="2:28" ht="12.75">
      <c r="B48" s="36"/>
      <c r="C48" s="36"/>
      <c r="D48" s="36">
        <f t="shared" si="2"/>
        <v>106</v>
      </c>
      <c r="E48" s="36">
        <v>2</v>
      </c>
      <c r="F48" s="42" t="s">
        <v>17</v>
      </c>
      <c r="G48" s="36">
        <v>11</v>
      </c>
      <c r="H48" s="43" t="str">
        <f ca="1">IF($B$2="","1. Gruppe D",INDIRECT(ADDRESS(MATCH(G48,$A$1:$A$20,0),MATCH(F48,$A$6:$AE$6,0))))</f>
        <v>Linden Dahlhauser TV</v>
      </c>
      <c r="I48" s="44" t="s">
        <v>24</v>
      </c>
      <c r="J48" s="42" t="s">
        <v>17</v>
      </c>
      <c r="K48" s="36"/>
      <c r="L48" s="43" t="str">
        <f>IF($T$40="","S. "&amp;D40,IF(T40=2,H40,L40))</f>
        <v>TV Zeilhard </v>
      </c>
      <c r="M48" s="42" t="s">
        <v>17</v>
      </c>
      <c r="N48" s="36"/>
      <c r="O48" s="43" t="str">
        <f>IF($T$40="","V. "&amp;D40,IF(T40=0,H40,L40))</f>
        <v>TV Mahndorf</v>
      </c>
      <c r="P48" s="45"/>
      <c r="Q48" s="36">
        <v>41</v>
      </c>
      <c r="R48" s="44" t="s">
        <v>23</v>
      </c>
      <c r="S48" s="47">
        <v>37</v>
      </c>
      <c r="T48" s="46">
        <f t="shared" si="3"/>
        <v>2</v>
      </c>
      <c r="U48" s="44" t="s">
        <v>23</v>
      </c>
      <c r="V48" s="47">
        <f t="shared" si="4"/>
        <v>0</v>
      </c>
      <c r="X48" s="44" t="s">
        <v>44</v>
      </c>
      <c r="Y48" s="44" t="s">
        <v>44</v>
      </c>
      <c r="AA48" s="36" t="s">
        <v>85</v>
      </c>
      <c r="AB48" s="28" t="s">
        <v>93</v>
      </c>
    </row>
    <row r="49" spans="2:28" ht="12.75">
      <c r="B49" s="36"/>
      <c r="C49" s="36"/>
      <c r="D49" s="36">
        <f t="shared" si="2"/>
        <v>107</v>
      </c>
      <c r="E49" s="36">
        <v>3</v>
      </c>
      <c r="F49" s="42" t="s">
        <v>18</v>
      </c>
      <c r="G49" s="36">
        <v>11</v>
      </c>
      <c r="H49" s="43" t="str">
        <f ca="1">IF($H$2="","1. Gruppe F",INDIRECT(ADDRESS(MATCH(G49,$A$1:$A$20,0),MATCH(F49,$A$6:$AE$6,0))))</f>
        <v>MTV Markoldendorf</v>
      </c>
      <c r="I49" s="44" t="s">
        <v>24</v>
      </c>
      <c r="J49" s="42" t="s">
        <v>18</v>
      </c>
      <c r="K49" s="36"/>
      <c r="L49" s="43" t="str">
        <f>IF($T$41="","S. "&amp;D41,IF(T41=2,H41,L41))</f>
        <v>VfL Waiblingen</v>
      </c>
      <c r="M49" s="42" t="s">
        <v>18</v>
      </c>
      <c r="N49" s="36"/>
      <c r="O49" s="43" t="str">
        <f>IF($T$41="","V. "&amp;D41,IF(T41=0,H41,L41))</f>
        <v>TV Zeilhard</v>
      </c>
      <c r="P49" s="45"/>
      <c r="Q49" s="36">
        <v>37</v>
      </c>
      <c r="R49" s="44" t="s">
        <v>23</v>
      </c>
      <c r="S49" s="47">
        <v>35</v>
      </c>
      <c r="T49" s="46">
        <f t="shared" si="3"/>
        <v>2</v>
      </c>
      <c r="U49" s="44" t="s">
        <v>23</v>
      </c>
      <c r="V49" s="47">
        <f t="shared" si="4"/>
        <v>0</v>
      </c>
      <c r="X49" s="44" t="s">
        <v>44</v>
      </c>
      <c r="Y49" s="44" t="s">
        <v>44</v>
      </c>
      <c r="AA49" s="36" t="s">
        <v>85</v>
      </c>
      <c r="AB49" s="28" t="s">
        <v>93</v>
      </c>
    </row>
    <row r="50" spans="2:28" ht="12.75">
      <c r="B50" s="48"/>
      <c r="C50" s="48"/>
      <c r="D50" s="48">
        <f t="shared" si="2"/>
        <v>108</v>
      </c>
      <c r="E50" s="48">
        <v>4</v>
      </c>
      <c r="F50" s="49" t="s">
        <v>19</v>
      </c>
      <c r="G50" s="48">
        <v>11</v>
      </c>
      <c r="H50" s="50" t="str">
        <f ca="1">IF($O$2="","1. Gruppe H",INDIRECT(ADDRESS(MATCH(G50,$A$1:$A$20,0),MATCH(F50,$A$6:$AE$6,0))))</f>
        <v>TV Berkenbaum</v>
      </c>
      <c r="I50" s="51" t="s">
        <v>24</v>
      </c>
      <c r="J50" s="49" t="s">
        <v>19</v>
      </c>
      <c r="K50" s="48"/>
      <c r="L50" s="50" t="str">
        <f>IF($T$42="","S. "&amp;D42,IF(T42=2,H42,L42))</f>
        <v>TV Kierdorf</v>
      </c>
      <c r="M50" s="49" t="s">
        <v>19</v>
      </c>
      <c r="N50" s="48"/>
      <c r="O50" s="50" t="str">
        <f>IF($T$42="","V. "&amp;D42,IF(T42=0,H42,L42))</f>
        <v>TSV Burgdorf</v>
      </c>
      <c r="P50" s="52"/>
      <c r="Q50" s="48">
        <v>44</v>
      </c>
      <c r="R50" s="51" t="s">
        <v>23</v>
      </c>
      <c r="S50" s="54">
        <v>31</v>
      </c>
      <c r="T50" s="53">
        <f t="shared" si="3"/>
        <v>2</v>
      </c>
      <c r="U50" s="51" t="s">
        <v>23</v>
      </c>
      <c r="V50" s="54">
        <f t="shared" si="4"/>
        <v>0</v>
      </c>
      <c r="X50" s="51" t="s">
        <v>44</v>
      </c>
      <c r="Y50" s="51" t="s">
        <v>44</v>
      </c>
      <c r="AA50" s="36" t="s">
        <v>85</v>
      </c>
      <c r="AB50" s="28" t="s">
        <v>93</v>
      </c>
    </row>
    <row r="51" spans="2:28" ht="12.75">
      <c r="B51" s="36">
        <f>+B47+1</f>
        <v>33</v>
      </c>
      <c r="C51" s="41">
        <f>+Daten!P12</f>
        <v>0.5104166666666666</v>
      </c>
      <c r="D51" s="36">
        <f t="shared" si="2"/>
        <v>109</v>
      </c>
      <c r="E51" s="36">
        <v>1</v>
      </c>
      <c r="F51" s="42" t="s">
        <v>16</v>
      </c>
      <c r="G51" s="36">
        <v>1</v>
      </c>
      <c r="H51" s="43" t="str">
        <f ca="1">IF($L$2="","1. Gruppe A",INDIRECT(ADDRESS(MATCH(G51,$A$1:$A$20,0),MATCH(F51,$A$6:$AE$6,0))))</f>
        <v>TV Sottrum</v>
      </c>
      <c r="I51" s="44" t="s">
        <v>24</v>
      </c>
      <c r="J51" s="42" t="s">
        <v>16</v>
      </c>
      <c r="K51" s="36"/>
      <c r="L51" s="43" t="str">
        <f>IF($T$43="","S. "&amp;D43,IF(T43=2,H43,L43))</f>
        <v>TV Zeilhard </v>
      </c>
      <c r="M51" s="42" t="s">
        <v>16</v>
      </c>
      <c r="N51" s="36"/>
      <c r="O51" s="43" t="str">
        <f>IF($T$43="","V. "&amp;D43,IF(T43=0,H43,L43))</f>
        <v>PV Gundernhausen </v>
      </c>
      <c r="P51" s="45"/>
      <c r="Q51" s="36">
        <v>27</v>
      </c>
      <c r="R51" s="44" t="s">
        <v>23</v>
      </c>
      <c r="S51" s="47">
        <v>40</v>
      </c>
      <c r="T51" s="46">
        <f t="shared" si="3"/>
        <v>0</v>
      </c>
      <c r="U51" s="44" t="s">
        <v>23</v>
      </c>
      <c r="V51" s="47">
        <f t="shared" si="4"/>
        <v>2</v>
      </c>
      <c r="X51" s="44" t="s">
        <v>44</v>
      </c>
      <c r="Y51" s="44" t="s">
        <v>44</v>
      </c>
      <c r="AA51" s="36" t="s">
        <v>85</v>
      </c>
      <c r="AB51" s="28" t="s">
        <v>93</v>
      </c>
    </row>
    <row r="52" spans="2:28" ht="12.75">
      <c r="B52" s="36"/>
      <c r="C52" s="36"/>
      <c r="D52" s="36">
        <f t="shared" si="2"/>
        <v>110</v>
      </c>
      <c r="E52" s="36">
        <v>2</v>
      </c>
      <c r="F52" s="42" t="s">
        <v>17</v>
      </c>
      <c r="G52" s="36">
        <v>1</v>
      </c>
      <c r="H52" s="43" t="str">
        <f ca="1">IF($B$2="","1. Gruppe C",INDIRECT(ADDRESS(MATCH(G52,$A$1:$A$20,0),MATCH(F52,$A$6:$AE$6,0))))</f>
        <v>Vegesacker TV</v>
      </c>
      <c r="I52" s="44" t="s">
        <v>24</v>
      </c>
      <c r="J52" s="42" t="s">
        <v>17</v>
      </c>
      <c r="K52" s="36"/>
      <c r="L52" s="43" t="str">
        <f>IF($T$44="","S. "&amp;D44,IF(T44=2,H44,L44))</f>
        <v>MTV Markoldendorf</v>
      </c>
      <c r="M52" s="42" t="s">
        <v>17</v>
      </c>
      <c r="N52" s="36"/>
      <c r="O52" s="43" t="str">
        <f>IF($T$44="","V. "&amp;D44,IF(T44=0,H44,L44))</f>
        <v>PV Gundernhausen</v>
      </c>
      <c r="P52" s="45"/>
      <c r="Q52" s="36">
        <v>47</v>
      </c>
      <c r="R52" s="44" t="s">
        <v>23</v>
      </c>
      <c r="S52" s="47">
        <v>39</v>
      </c>
      <c r="T52" s="46">
        <f t="shared" si="3"/>
        <v>2</v>
      </c>
      <c r="U52" s="44" t="s">
        <v>23</v>
      </c>
      <c r="V52" s="47">
        <f t="shared" si="4"/>
        <v>0</v>
      </c>
      <c r="X52" s="44" t="s">
        <v>44</v>
      </c>
      <c r="Y52" s="44" t="s">
        <v>44</v>
      </c>
      <c r="AA52" s="36" t="s">
        <v>85</v>
      </c>
      <c r="AB52" s="28" t="s">
        <v>93</v>
      </c>
    </row>
    <row r="53" spans="2:28" ht="12.75">
      <c r="B53" s="36"/>
      <c r="C53" s="36"/>
      <c r="D53" s="36">
        <f t="shared" si="2"/>
        <v>111</v>
      </c>
      <c r="E53" s="36">
        <v>3</v>
      </c>
      <c r="F53" s="42" t="s">
        <v>18</v>
      </c>
      <c r="G53" s="36">
        <v>1</v>
      </c>
      <c r="H53" s="43" t="str">
        <f ca="1">IF($H$2="","1. Gruppe E",INDIRECT(ADDRESS(MATCH(G53,$A$1:$A$20,0),MATCH(F53,$A$6:$AE$6,0))))</f>
        <v>Vegesacker TV</v>
      </c>
      <c r="I53" s="44" t="s">
        <v>24</v>
      </c>
      <c r="J53" s="42" t="s">
        <v>18</v>
      </c>
      <c r="K53" s="36"/>
      <c r="L53" s="43" t="str">
        <f>IF($T$45="","S. "&amp;D45,IF(T45=2,H45,L45))</f>
        <v>TV Hemer </v>
      </c>
      <c r="M53" s="42" t="s">
        <v>18</v>
      </c>
      <c r="N53" s="36"/>
      <c r="O53" s="43" t="str">
        <f>IF($T$45="","V. "&amp;D45,IF(T45=0,H45,L45))</f>
        <v>TV Freiburg St. Georgen</v>
      </c>
      <c r="P53" s="45"/>
      <c r="Q53" s="36">
        <v>42</v>
      </c>
      <c r="R53" s="44" t="s">
        <v>23</v>
      </c>
      <c r="S53" s="47">
        <v>34</v>
      </c>
      <c r="T53" s="46">
        <f t="shared" si="3"/>
        <v>2</v>
      </c>
      <c r="U53" s="44" t="s">
        <v>23</v>
      </c>
      <c r="V53" s="47">
        <f t="shared" si="4"/>
        <v>0</v>
      </c>
      <c r="X53" s="44" t="s">
        <v>44</v>
      </c>
      <c r="Y53" s="44" t="s">
        <v>44</v>
      </c>
      <c r="AA53" s="36" t="s">
        <v>85</v>
      </c>
      <c r="AB53" s="28" t="s">
        <v>93</v>
      </c>
    </row>
    <row r="54" spans="2:28" ht="12.75">
      <c r="B54" s="48"/>
      <c r="C54" s="167"/>
      <c r="D54" s="48">
        <f t="shared" si="2"/>
        <v>112</v>
      </c>
      <c r="E54" s="48">
        <v>4</v>
      </c>
      <c r="F54" s="49" t="s">
        <v>19</v>
      </c>
      <c r="G54" s="48">
        <v>1</v>
      </c>
      <c r="H54" s="50" t="str">
        <f ca="1">IF($O$2="","1. Gruppe G",INDIRECT(ADDRESS(MATCH(G54,$A$1:$A$20,0),MATCH(F54,$A$6:$AE$6,0))))</f>
        <v>TuS Aschen-Strang</v>
      </c>
      <c r="I54" s="51" t="s">
        <v>24</v>
      </c>
      <c r="J54" s="49" t="s">
        <v>19</v>
      </c>
      <c r="K54" s="48"/>
      <c r="L54" s="50" t="str">
        <f>IF($T$46="","S. "&amp;D46,IF(T46=2,H46,L46))</f>
        <v>MTV Jahn Schladen</v>
      </c>
      <c r="M54" s="49" t="s">
        <v>19</v>
      </c>
      <c r="N54" s="48"/>
      <c r="O54" s="50" t="str">
        <f>IF($T$46="","V. "&amp;D46,IF(T46=0,H46,L46))</f>
        <v>TV Huchenfeld</v>
      </c>
      <c r="P54" s="52"/>
      <c r="Q54" s="48">
        <v>31</v>
      </c>
      <c r="R54" s="51" t="s">
        <v>23</v>
      </c>
      <c r="S54" s="54">
        <v>36</v>
      </c>
      <c r="T54" s="53">
        <f t="shared" si="3"/>
        <v>0</v>
      </c>
      <c r="U54" s="51" t="s">
        <v>23</v>
      </c>
      <c r="V54" s="54">
        <f t="shared" si="4"/>
        <v>2</v>
      </c>
      <c r="X54" s="51" t="s">
        <v>44</v>
      </c>
      <c r="Y54" s="51" t="s">
        <v>44</v>
      </c>
      <c r="AA54" s="36" t="s">
        <v>85</v>
      </c>
      <c r="AB54" s="28" t="s">
        <v>93</v>
      </c>
    </row>
    <row r="55" spans="2:28" ht="12.75">
      <c r="B55" s="36">
        <f>+B51+1</f>
        <v>34</v>
      </c>
      <c r="C55" s="41">
        <f>+Daten!P13</f>
        <v>0.5277777777777778</v>
      </c>
      <c r="D55" s="36">
        <f t="shared" si="2"/>
        <v>113</v>
      </c>
      <c r="E55" s="36">
        <v>1</v>
      </c>
      <c r="F55" s="42" t="s">
        <v>16</v>
      </c>
      <c r="G55" s="36"/>
      <c r="H55" s="43" t="str">
        <f>IF($T$39="","Platz 5 / V. "&amp;D39,IF(T39=0,H39,L39))</f>
        <v>BTV Charlottenburg</v>
      </c>
      <c r="I55" s="44" t="s">
        <v>24</v>
      </c>
      <c r="J55" s="42" t="s">
        <v>16</v>
      </c>
      <c r="K55" s="36"/>
      <c r="L55" s="43" t="str">
        <f>IF($T$43="","V. "&amp;D43,IF(T43=0,H43,L43))</f>
        <v>PV Gundernhausen </v>
      </c>
      <c r="M55" s="42" t="s">
        <v>16</v>
      </c>
      <c r="N55" s="36"/>
      <c r="O55" s="43" t="str">
        <f>IF($T$47="","V. "&amp;D47,IF(T47=0,H47,L47))</f>
        <v>Vegesacker TV</v>
      </c>
      <c r="P55" s="45"/>
      <c r="Q55" s="36">
        <v>39</v>
      </c>
      <c r="R55" s="44" t="s">
        <v>23</v>
      </c>
      <c r="S55" s="47">
        <v>34</v>
      </c>
      <c r="T55" s="46">
        <f t="shared" si="3"/>
        <v>2</v>
      </c>
      <c r="U55" s="44" t="s">
        <v>23</v>
      </c>
      <c r="V55" s="47">
        <f t="shared" si="4"/>
        <v>0</v>
      </c>
      <c r="X55" s="44" t="s">
        <v>44</v>
      </c>
      <c r="Y55" s="44" t="s">
        <v>44</v>
      </c>
      <c r="AA55" s="36" t="s">
        <v>86</v>
      </c>
      <c r="AB55" s="28" t="s">
        <v>94</v>
      </c>
    </row>
    <row r="56" spans="2:28" ht="12.75">
      <c r="B56" s="36"/>
      <c r="C56" s="36"/>
      <c r="D56" s="36">
        <f t="shared" si="2"/>
        <v>114</v>
      </c>
      <c r="E56" s="36">
        <v>2</v>
      </c>
      <c r="F56" s="42" t="s">
        <v>17</v>
      </c>
      <c r="G56" s="36"/>
      <c r="H56" s="43" t="str">
        <f>IF($T$40="","Platz 5 / V. "&amp;D40,IF(T40=0,H40,L40))</f>
        <v>TV Mahndorf</v>
      </c>
      <c r="I56" s="44" t="s">
        <v>24</v>
      </c>
      <c r="J56" s="42" t="s">
        <v>17</v>
      </c>
      <c r="K56" s="36"/>
      <c r="L56" s="43" t="str">
        <f>IF($T$44="","V. "&amp;D44,IF(T44=0,H44,L44))</f>
        <v>PV Gundernhausen</v>
      </c>
      <c r="M56" s="42" t="s">
        <v>17</v>
      </c>
      <c r="N56" s="36"/>
      <c r="O56" s="43" t="str">
        <f>IF($T$48="","V. "&amp;D48,IF(T48=0,H48,L48))</f>
        <v>TV Zeilhard </v>
      </c>
      <c r="P56" s="45"/>
      <c r="Q56" s="36">
        <v>49</v>
      </c>
      <c r="R56" s="44" t="s">
        <v>23</v>
      </c>
      <c r="S56" s="47">
        <v>58</v>
      </c>
      <c r="T56" s="46">
        <f aca="true" t="shared" si="5" ref="T56:T71">IF(Q56="","",IF(Q56&gt;S56,2,IF(Q56&lt;S56,0,1)))</f>
        <v>0</v>
      </c>
      <c r="U56" s="44" t="s">
        <v>23</v>
      </c>
      <c r="V56" s="47">
        <f aca="true" t="shared" si="6" ref="V56:V71">IF(S56="","",IF(S56&gt;Q56,2,IF(S56&lt;Q56,0,1)))</f>
        <v>2</v>
      </c>
      <c r="X56" s="44" t="s">
        <v>44</v>
      </c>
      <c r="Y56" s="44" t="s">
        <v>44</v>
      </c>
      <c r="AA56" s="36" t="s">
        <v>86</v>
      </c>
      <c r="AB56" s="28" t="s">
        <v>94</v>
      </c>
    </row>
    <row r="57" spans="2:28" ht="12.75">
      <c r="B57" s="36"/>
      <c r="C57" s="36"/>
      <c r="D57" s="36">
        <f t="shared" si="2"/>
        <v>115</v>
      </c>
      <c r="E57" s="36">
        <v>3</v>
      </c>
      <c r="F57" s="42" t="s">
        <v>18</v>
      </c>
      <c r="G57" s="36"/>
      <c r="H57" s="43" t="str">
        <f>IF($T$41="","Platz 5 / V. "&amp;D41,IF(T41=0,H41,L41))</f>
        <v>TV Zeilhard</v>
      </c>
      <c r="I57" s="44" t="s">
        <v>24</v>
      </c>
      <c r="J57" s="42" t="s">
        <v>18</v>
      </c>
      <c r="K57" s="36"/>
      <c r="L57" s="43" t="str">
        <f>IF($T$45="","V. "&amp;D45,IF(T45=0,H45,L45))</f>
        <v>TV Freiburg St. Georgen</v>
      </c>
      <c r="M57" s="42" t="s">
        <v>18</v>
      </c>
      <c r="N57" s="36"/>
      <c r="O57" s="43" t="str">
        <f>IF($T$49="","V. "&amp;D49,IF(T49=0,H49,L49))</f>
        <v>VfL Waiblingen</v>
      </c>
      <c r="P57" s="45"/>
      <c r="Q57" s="36">
        <v>26</v>
      </c>
      <c r="R57" s="44" t="s">
        <v>23</v>
      </c>
      <c r="S57" s="47">
        <v>43</v>
      </c>
      <c r="T57" s="46">
        <f t="shared" si="5"/>
        <v>0</v>
      </c>
      <c r="U57" s="44" t="s">
        <v>23</v>
      </c>
      <c r="V57" s="47">
        <f t="shared" si="6"/>
        <v>2</v>
      </c>
      <c r="X57" s="44" t="s">
        <v>44</v>
      </c>
      <c r="Y57" s="44" t="s">
        <v>44</v>
      </c>
      <c r="AA57" s="36" t="s">
        <v>86</v>
      </c>
      <c r="AB57" s="28" t="s">
        <v>94</v>
      </c>
    </row>
    <row r="58" spans="2:28" ht="12.75">
      <c r="B58" s="48"/>
      <c r="C58" s="48"/>
      <c r="D58" s="48">
        <f t="shared" si="2"/>
        <v>116</v>
      </c>
      <c r="E58" s="48">
        <v>4</v>
      </c>
      <c r="F58" s="49" t="s">
        <v>19</v>
      </c>
      <c r="G58" s="48"/>
      <c r="H58" s="50" t="str">
        <f>IF($T$42="","Platz 5 / V. "&amp;D42,IF(T42=0,H42,L42))</f>
        <v>TSV Burgdorf</v>
      </c>
      <c r="I58" s="51" t="s">
        <v>24</v>
      </c>
      <c r="J58" s="49" t="s">
        <v>19</v>
      </c>
      <c r="K58" s="48"/>
      <c r="L58" s="50" t="str">
        <f>IF($T$46="","V. "&amp;D46,IF(T46=0,H46,L46))</f>
        <v>TV Huchenfeld</v>
      </c>
      <c r="M58" s="49" t="s">
        <v>19</v>
      </c>
      <c r="N58" s="48"/>
      <c r="O58" s="50" t="str">
        <f>IF($T$50="","V. "&amp;D50,IF(T50=0,H50,L50))</f>
        <v>TV Kierdorf</v>
      </c>
      <c r="P58" s="52"/>
      <c r="Q58" s="48">
        <v>43</v>
      </c>
      <c r="R58" s="51" t="s">
        <v>23</v>
      </c>
      <c r="S58" s="54">
        <v>44</v>
      </c>
      <c r="T58" s="53">
        <f t="shared" si="5"/>
        <v>0</v>
      </c>
      <c r="U58" s="51" t="s">
        <v>23</v>
      </c>
      <c r="V58" s="54">
        <f t="shared" si="6"/>
        <v>2</v>
      </c>
      <c r="X58" s="51" t="s">
        <v>44</v>
      </c>
      <c r="Y58" s="51" t="s">
        <v>44</v>
      </c>
      <c r="AA58" s="36" t="s">
        <v>86</v>
      </c>
      <c r="AB58" s="28" t="s">
        <v>94</v>
      </c>
    </row>
    <row r="59" spans="2:28" ht="12.75">
      <c r="B59" s="36">
        <f>+B55+1</f>
        <v>35</v>
      </c>
      <c r="C59" s="41">
        <f>+Daten!P14</f>
        <v>0.545138888888889</v>
      </c>
      <c r="D59" s="36">
        <f t="shared" si="2"/>
        <v>117</v>
      </c>
      <c r="E59" s="36">
        <v>1</v>
      </c>
      <c r="F59" s="42" t="s">
        <v>16</v>
      </c>
      <c r="G59" s="36"/>
      <c r="H59" s="43" t="str">
        <f>IF($T$47="","Platz 3 / V. "&amp;D47,IF(T47=0,H47,L47))</f>
        <v>Vegesacker TV</v>
      </c>
      <c r="I59" s="44" t="s">
        <v>24</v>
      </c>
      <c r="J59" s="42" t="s">
        <v>16</v>
      </c>
      <c r="K59" s="36"/>
      <c r="L59" s="43" t="str">
        <f>IF($T$51="","V. "&amp;D51,IF(T51=0,H51,L51))</f>
        <v>TV Sottrum</v>
      </c>
      <c r="M59" s="42" t="s">
        <v>16</v>
      </c>
      <c r="N59" s="36"/>
      <c r="O59" s="43" t="str">
        <f>IF($T$47="","S. "&amp;D47,IF(T47=2,H47,L47))</f>
        <v>TB Essen-Altendorf</v>
      </c>
      <c r="P59" s="45"/>
      <c r="Q59" s="36">
        <v>30</v>
      </c>
      <c r="R59" s="44" t="s">
        <v>23</v>
      </c>
      <c r="S59" s="47">
        <v>36</v>
      </c>
      <c r="T59" s="46">
        <f t="shared" si="5"/>
        <v>0</v>
      </c>
      <c r="U59" s="44" t="s">
        <v>23</v>
      </c>
      <c r="V59" s="47">
        <f t="shared" si="6"/>
        <v>2</v>
      </c>
      <c r="X59" s="44" t="s">
        <v>44</v>
      </c>
      <c r="Y59" s="44" t="s">
        <v>44</v>
      </c>
      <c r="AA59" s="36" t="s">
        <v>86</v>
      </c>
      <c r="AB59" s="28" t="s">
        <v>88</v>
      </c>
    </row>
    <row r="60" spans="2:28" ht="12.75">
      <c r="B60" s="36"/>
      <c r="C60" s="36"/>
      <c r="D60" s="36">
        <f t="shared" si="2"/>
        <v>118</v>
      </c>
      <c r="E60" s="36">
        <v>2</v>
      </c>
      <c r="F60" s="42" t="s">
        <v>17</v>
      </c>
      <c r="G60" s="36"/>
      <c r="H60" s="43" t="str">
        <f>IF($T$48="","Platz 3 / V. "&amp;D48,IF(T48=0,H48,L48))</f>
        <v>TV Zeilhard </v>
      </c>
      <c r="I60" s="44" t="s">
        <v>24</v>
      </c>
      <c r="J60" s="42" t="s">
        <v>17</v>
      </c>
      <c r="K60" s="36"/>
      <c r="L60" s="43" t="str">
        <f>IF($T$52="","V. "&amp;D52,IF(T52=0,H52,L52))</f>
        <v>MTV Markoldendorf</v>
      </c>
      <c r="M60" s="42" t="s">
        <v>17</v>
      </c>
      <c r="N60" s="36"/>
      <c r="O60" s="43" t="str">
        <f>IF($T$48="","S. "&amp;D48,IF(T48=2,H48,L48))</f>
        <v>Linden Dahlhauser TV</v>
      </c>
      <c r="P60" s="45"/>
      <c r="Q60" s="36">
        <v>29</v>
      </c>
      <c r="R60" s="44" t="s">
        <v>23</v>
      </c>
      <c r="S60" s="47">
        <v>39</v>
      </c>
      <c r="T60" s="46">
        <f t="shared" si="5"/>
        <v>0</v>
      </c>
      <c r="U60" s="44" t="s">
        <v>23</v>
      </c>
      <c r="V60" s="47">
        <f t="shared" si="6"/>
        <v>2</v>
      </c>
      <c r="X60" s="44" t="s">
        <v>44</v>
      </c>
      <c r="Y60" s="44" t="s">
        <v>44</v>
      </c>
      <c r="AA60" s="36" t="s">
        <v>86</v>
      </c>
      <c r="AB60" s="28" t="s">
        <v>88</v>
      </c>
    </row>
    <row r="61" spans="2:28" ht="12.75">
      <c r="B61" s="36"/>
      <c r="C61" s="36"/>
      <c r="D61" s="36">
        <f t="shared" si="2"/>
        <v>119</v>
      </c>
      <c r="E61" s="36">
        <v>3</v>
      </c>
      <c r="F61" s="42" t="s">
        <v>18</v>
      </c>
      <c r="G61" s="36"/>
      <c r="H61" s="43" t="str">
        <f>IF($T$49="","Platz 3 / V. "&amp;D49,IF(T49=0,H49,L49))</f>
        <v>VfL Waiblingen</v>
      </c>
      <c r="I61" s="44" t="s">
        <v>24</v>
      </c>
      <c r="J61" s="42" t="s">
        <v>18</v>
      </c>
      <c r="K61" s="36"/>
      <c r="L61" s="43" t="str">
        <f>IF($T$53="","V. "&amp;D53,IF(T53=0,H53,L53))</f>
        <v>TV Hemer </v>
      </c>
      <c r="M61" s="42" t="s">
        <v>18</v>
      </c>
      <c r="N61" s="36"/>
      <c r="O61" s="43" t="str">
        <f>IF($T$49="","S. "&amp;D49,IF(T49=2,H49,L49))</f>
        <v>MTV Markoldendorf</v>
      </c>
      <c r="P61" s="45"/>
      <c r="Q61" s="36">
        <v>31</v>
      </c>
      <c r="R61" s="44" t="s">
        <v>23</v>
      </c>
      <c r="S61" s="47">
        <v>41</v>
      </c>
      <c r="T61" s="46">
        <f t="shared" si="5"/>
        <v>0</v>
      </c>
      <c r="U61" s="44" t="s">
        <v>23</v>
      </c>
      <c r="V61" s="47">
        <f t="shared" si="6"/>
        <v>2</v>
      </c>
      <c r="X61" s="44" t="s">
        <v>44</v>
      </c>
      <c r="Y61" s="44" t="s">
        <v>44</v>
      </c>
      <c r="AA61" s="36" t="s">
        <v>86</v>
      </c>
      <c r="AB61" s="28" t="s">
        <v>88</v>
      </c>
    </row>
    <row r="62" spans="2:28" ht="12.75">
      <c r="B62" s="48"/>
      <c r="C62" s="48"/>
      <c r="D62" s="48">
        <f t="shared" si="2"/>
        <v>120</v>
      </c>
      <c r="E62" s="48">
        <v>4</v>
      </c>
      <c r="F62" s="49" t="s">
        <v>19</v>
      </c>
      <c r="G62" s="48"/>
      <c r="H62" s="50" t="str">
        <f>IF($T$50="","Platz 3 / V. "&amp;D50,IF(T50=0,H50,L50))</f>
        <v>TV Kierdorf</v>
      </c>
      <c r="I62" s="51" t="s">
        <v>24</v>
      </c>
      <c r="J62" s="49" t="s">
        <v>19</v>
      </c>
      <c r="K62" s="48"/>
      <c r="L62" s="50" t="str">
        <f>IF($T$54="","V. "&amp;D54,IF(T54=0,H54,L54))</f>
        <v>TuS Aschen-Strang</v>
      </c>
      <c r="M62" s="49" t="s">
        <v>19</v>
      </c>
      <c r="N62" s="48"/>
      <c r="O62" s="50" t="str">
        <f>IF($T$50="","S. "&amp;D50,IF(T50=2,H50,L50))</f>
        <v>TV Berkenbaum</v>
      </c>
      <c r="P62" s="52"/>
      <c r="Q62" s="48">
        <v>31</v>
      </c>
      <c r="R62" s="51" t="s">
        <v>23</v>
      </c>
      <c r="S62" s="54">
        <v>35</v>
      </c>
      <c r="T62" s="53">
        <f t="shared" si="5"/>
        <v>0</v>
      </c>
      <c r="U62" s="51" t="s">
        <v>23</v>
      </c>
      <c r="V62" s="54">
        <f t="shared" si="6"/>
        <v>2</v>
      </c>
      <c r="X62" s="51" t="s">
        <v>44</v>
      </c>
      <c r="Y62" s="51" t="s">
        <v>44</v>
      </c>
      <c r="AA62" s="36" t="s">
        <v>86</v>
      </c>
      <c r="AB62" s="28" t="s">
        <v>88</v>
      </c>
    </row>
    <row r="63" spans="2:28" ht="12.75">
      <c r="B63" s="168">
        <f>+B59+1</f>
        <v>36</v>
      </c>
      <c r="C63" s="169">
        <f>+Daten!P15</f>
        <v>0.5625000000000001</v>
      </c>
      <c r="D63" s="168">
        <f>+D62+1</f>
        <v>121</v>
      </c>
      <c r="E63" s="168">
        <v>1</v>
      </c>
      <c r="F63" s="170" t="s">
        <v>16</v>
      </c>
      <c r="G63" s="168"/>
      <c r="H63" s="171" t="str">
        <f>IF($T$47="","Endspiel w.Jgd. / S. "&amp;D47,IF(T47=2,H47,L47))</f>
        <v>TB Essen-Altendorf</v>
      </c>
      <c r="I63" s="76" t="s">
        <v>24</v>
      </c>
      <c r="J63" s="170" t="s">
        <v>16</v>
      </c>
      <c r="K63" s="168"/>
      <c r="L63" s="171" t="str">
        <f>IF($T$51="","S. "&amp;D51,IF(T51=2,H51,L51))</f>
        <v>TV Zeilhard </v>
      </c>
      <c r="M63" s="170" t="s">
        <v>16</v>
      </c>
      <c r="N63" s="168"/>
      <c r="O63" s="171" t="str">
        <f>IF($T$59="","S. "&amp;D59,IF(T59=2,H59,L59))</f>
        <v>TV Sottrum</v>
      </c>
      <c r="P63" s="172"/>
      <c r="Q63" s="168">
        <v>41</v>
      </c>
      <c r="R63" s="76" t="s">
        <v>23</v>
      </c>
      <c r="S63" s="173">
        <v>33</v>
      </c>
      <c r="T63" s="174">
        <f t="shared" si="5"/>
        <v>2</v>
      </c>
      <c r="U63" s="76" t="s">
        <v>23</v>
      </c>
      <c r="V63" s="173">
        <f t="shared" si="6"/>
        <v>0</v>
      </c>
      <c r="X63" s="44" t="s">
        <v>44</v>
      </c>
      <c r="Y63" s="44" t="s">
        <v>44</v>
      </c>
      <c r="AA63" s="36" t="s">
        <v>87</v>
      </c>
      <c r="AB63" s="28" t="s">
        <v>35</v>
      </c>
    </row>
    <row r="64" spans="2:28" ht="12.75">
      <c r="B64" s="168">
        <f>+B63+1</f>
        <v>37</v>
      </c>
      <c r="C64" s="169">
        <f>+Daten!P16</f>
        <v>0.5798611111111113</v>
      </c>
      <c r="D64" s="168">
        <f aca="true" t="shared" si="7" ref="D64:D78">+D63+1</f>
        <v>122</v>
      </c>
      <c r="E64" s="168">
        <v>2</v>
      </c>
      <c r="F64" s="170" t="s">
        <v>17</v>
      </c>
      <c r="G64" s="168"/>
      <c r="H64" s="171" t="str">
        <f>IF($T$48="","Endspiel m.Jgd. / S. "&amp;D48,IF(T48=2,H48,L48))</f>
        <v>Linden Dahlhauser TV</v>
      </c>
      <c r="I64" s="76" t="s">
        <v>24</v>
      </c>
      <c r="J64" s="170" t="s">
        <v>17</v>
      </c>
      <c r="K64" s="168"/>
      <c r="L64" s="171" t="str">
        <f>IF($T$52="","S. "&amp;D52,IF(T52=2,H52,L52))</f>
        <v>Vegesacker TV</v>
      </c>
      <c r="M64" s="170" t="s">
        <v>17</v>
      </c>
      <c r="N64" s="168"/>
      <c r="O64" s="171" t="str">
        <f>IF($T$60="","S. "&amp;D60,IF(T60=2,H60,L60))</f>
        <v>MTV Markoldendorf</v>
      </c>
      <c r="P64" s="172"/>
      <c r="Q64" s="168">
        <v>38</v>
      </c>
      <c r="R64" s="76" t="s">
        <v>23</v>
      </c>
      <c r="S64" s="173">
        <v>45</v>
      </c>
      <c r="T64" s="174">
        <f t="shared" si="5"/>
        <v>0</v>
      </c>
      <c r="U64" s="76" t="s">
        <v>23</v>
      </c>
      <c r="V64" s="173">
        <f t="shared" si="6"/>
        <v>2</v>
      </c>
      <c r="X64" s="44" t="s">
        <v>44</v>
      </c>
      <c r="Y64" s="44" t="s">
        <v>44</v>
      </c>
      <c r="AA64" s="36" t="s">
        <v>87</v>
      </c>
      <c r="AB64" s="28" t="s">
        <v>35</v>
      </c>
    </row>
    <row r="65" spans="2:28" ht="12.75">
      <c r="B65" s="168">
        <f>+B64+1</f>
        <v>38</v>
      </c>
      <c r="C65" s="169">
        <f>+Daten!P17</f>
        <v>0.5972222222222224</v>
      </c>
      <c r="D65" s="168">
        <f t="shared" si="7"/>
        <v>123</v>
      </c>
      <c r="E65" s="168">
        <v>3</v>
      </c>
      <c r="F65" s="170" t="s">
        <v>18</v>
      </c>
      <c r="G65" s="168"/>
      <c r="H65" s="171" t="str">
        <f>IF($T$49="","Endspiel w.Sch. / S. "&amp;D49,IF(T49=2,H49,L49))</f>
        <v>MTV Markoldendorf</v>
      </c>
      <c r="I65" s="76" t="s">
        <v>24</v>
      </c>
      <c r="J65" s="170" t="s">
        <v>18</v>
      </c>
      <c r="K65" s="168"/>
      <c r="L65" s="171" t="str">
        <f>IF($T$53="","S. "&amp;D53,IF(T53=2,H53,L53))</f>
        <v>Vegesacker TV</v>
      </c>
      <c r="M65" s="170" t="s">
        <v>18</v>
      </c>
      <c r="N65" s="168"/>
      <c r="O65" s="171" t="str">
        <f>IF($T$61="","S. "&amp;D61,IF(T61=2,H61,L61))</f>
        <v>TV Hemer </v>
      </c>
      <c r="P65" s="172"/>
      <c r="Q65" s="168">
        <v>36</v>
      </c>
      <c r="R65" s="76" t="s">
        <v>23</v>
      </c>
      <c r="S65" s="173">
        <v>47</v>
      </c>
      <c r="T65" s="174">
        <f t="shared" si="5"/>
        <v>0</v>
      </c>
      <c r="U65" s="76" t="s">
        <v>23</v>
      </c>
      <c r="V65" s="173">
        <f t="shared" si="6"/>
        <v>2</v>
      </c>
      <c r="X65" s="44" t="s">
        <v>44</v>
      </c>
      <c r="Y65" s="44" t="s">
        <v>44</v>
      </c>
      <c r="AA65" s="36" t="s">
        <v>87</v>
      </c>
      <c r="AB65" s="28" t="s">
        <v>35</v>
      </c>
    </row>
    <row r="66" spans="2:28" ht="12.75">
      <c r="B66" s="175">
        <f>+B65+1</f>
        <v>39</v>
      </c>
      <c r="C66" s="169">
        <f>+Daten!P18</f>
        <v>0.6145833333333336</v>
      </c>
      <c r="D66" s="168">
        <f t="shared" si="7"/>
        <v>124</v>
      </c>
      <c r="E66" s="168">
        <v>4</v>
      </c>
      <c r="F66" s="170" t="s">
        <v>19</v>
      </c>
      <c r="G66" s="168"/>
      <c r="H66" s="171" t="str">
        <f>IF($T$50="","Endspiel m.Sch. / S. "&amp;D50,IF(T50=2,H50,L50))</f>
        <v>TV Berkenbaum</v>
      </c>
      <c r="I66" s="76" t="s">
        <v>24</v>
      </c>
      <c r="J66" s="170" t="s">
        <v>19</v>
      </c>
      <c r="K66" s="168"/>
      <c r="L66" s="171" t="str">
        <f>IF($T$54="","S. "&amp;D54,IF(T54=2,H54,L54))</f>
        <v>MTV Jahn Schladen</v>
      </c>
      <c r="M66" s="170" t="s">
        <v>19</v>
      </c>
      <c r="N66" s="168"/>
      <c r="O66" s="171" t="str">
        <f>IF($T$62="","S. "&amp;D62,IF(T62=2,H62,L62))</f>
        <v>TuS Aschen-Strang</v>
      </c>
      <c r="P66" s="172"/>
      <c r="Q66" s="168">
        <v>37</v>
      </c>
      <c r="R66" s="76" t="s">
        <v>23</v>
      </c>
      <c r="S66" s="173">
        <v>38</v>
      </c>
      <c r="T66" s="174">
        <f t="shared" si="5"/>
        <v>0</v>
      </c>
      <c r="U66" s="76" t="s">
        <v>23</v>
      </c>
      <c r="V66" s="173">
        <f t="shared" si="6"/>
        <v>2</v>
      </c>
      <c r="X66" s="51" t="s">
        <v>44</v>
      </c>
      <c r="Y66" s="51" t="s">
        <v>44</v>
      </c>
      <c r="AA66" s="36" t="s">
        <v>87</v>
      </c>
      <c r="AB66" s="28" t="s">
        <v>35</v>
      </c>
    </row>
    <row r="67" spans="2:25" ht="12.75" hidden="1" outlineLevel="1">
      <c r="B67" s="36">
        <f>+B63+1</f>
        <v>37</v>
      </c>
      <c r="C67" s="41">
        <f>+Daten!P16</f>
        <v>0.5798611111111113</v>
      </c>
      <c r="D67" s="36">
        <f t="shared" si="7"/>
        <v>125</v>
      </c>
      <c r="E67" s="36">
        <v>1</v>
      </c>
      <c r="F67" s="42"/>
      <c r="G67" s="36"/>
      <c r="H67" s="43"/>
      <c r="I67" s="44" t="s">
        <v>24</v>
      </c>
      <c r="J67" s="42"/>
      <c r="K67" s="36"/>
      <c r="L67" s="43"/>
      <c r="M67" s="42"/>
      <c r="N67" s="36"/>
      <c r="O67" s="43"/>
      <c r="P67" s="45"/>
      <c r="Q67" s="36"/>
      <c r="R67" s="44" t="s">
        <v>23</v>
      </c>
      <c r="S67" s="47"/>
      <c r="T67" s="46">
        <f t="shared" si="5"/>
      </c>
      <c r="U67" s="44" t="s">
        <v>23</v>
      </c>
      <c r="V67" s="47">
        <f t="shared" si="6"/>
      </c>
      <c r="X67" s="44" t="s">
        <v>44</v>
      </c>
      <c r="Y67" s="44" t="s">
        <v>44</v>
      </c>
    </row>
    <row r="68" spans="2:25" ht="12.75" hidden="1" outlineLevel="1">
      <c r="B68" s="36"/>
      <c r="C68" s="36"/>
      <c r="D68" s="36">
        <f t="shared" si="7"/>
        <v>126</v>
      </c>
      <c r="E68" s="36">
        <v>2</v>
      </c>
      <c r="F68" s="42"/>
      <c r="G68" s="36"/>
      <c r="H68" s="43"/>
      <c r="I68" s="44" t="s">
        <v>24</v>
      </c>
      <c r="J68" s="42"/>
      <c r="K68" s="36"/>
      <c r="L68" s="43"/>
      <c r="M68" s="42"/>
      <c r="N68" s="36"/>
      <c r="O68" s="43"/>
      <c r="P68" s="45"/>
      <c r="Q68" s="36"/>
      <c r="R68" s="44" t="s">
        <v>23</v>
      </c>
      <c r="S68" s="47"/>
      <c r="T68" s="46">
        <f t="shared" si="5"/>
      </c>
      <c r="U68" s="44" t="s">
        <v>23</v>
      </c>
      <c r="V68" s="47">
        <f t="shared" si="6"/>
      </c>
      <c r="X68" s="44" t="s">
        <v>44</v>
      </c>
      <c r="Y68" s="44" t="s">
        <v>44</v>
      </c>
    </row>
    <row r="69" spans="2:25" ht="12.75" hidden="1" outlineLevel="1">
      <c r="B69" s="36"/>
      <c r="C69" s="36"/>
      <c r="D69" s="36">
        <f t="shared" si="7"/>
        <v>127</v>
      </c>
      <c r="E69" s="36">
        <v>3</v>
      </c>
      <c r="F69" s="42"/>
      <c r="G69" s="36"/>
      <c r="H69" s="43"/>
      <c r="I69" s="44" t="s">
        <v>24</v>
      </c>
      <c r="J69" s="42"/>
      <c r="K69" s="36"/>
      <c r="L69" s="43"/>
      <c r="M69" s="42"/>
      <c r="N69" s="36"/>
      <c r="O69" s="43"/>
      <c r="P69" s="45"/>
      <c r="Q69" s="36"/>
      <c r="R69" s="44" t="s">
        <v>23</v>
      </c>
      <c r="S69" s="47"/>
      <c r="T69" s="46">
        <f t="shared" si="5"/>
      </c>
      <c r="U69" s="44" t="s">
        <v>23</v>
      </c>
      <c r="V69" s="47">
        <f t="shared" si="6"/>
      </c>
      <c r="X69" s="44" t="s">
        <v>44</v>
      </c>
      <c r="Y69" s="44" t="s">
        <v>44</v>
      </c>
    </row>
    <row r="70" spans="2:25" ht="12.75" hidden="1" outlineLevel="1">
      <c r="B70" s="48"/>
      <c r="C70" s="48"/>
      <c r="D70" s="48">
        <f t="shared" si="7"/>
        <v>128</v>
      </c>
      <c r="E70" s="48">
        <v>4</v>
      </c>
      <c r="F70" s="49"/>
      <c r="G70" s="48"/>
      <c r="H70" s="50"/>
      <c r="I70" s="51" t="s">
        <v>24</v>
      </c>
      <c r="J70" s="49"/>
      <c r="K70" s="48"/>
      <c r="L70" s="50"/>
      <c r="M70" s="49"/>
      <c r="N70" s="48"/>
      <c r="O70" s="50"/>
      <c r="P70" s="52"/>
      <c r="Q70" s="48"/>
      <c r="R70" s="51" t="s">
        <v>23</v>
      </c>
      <c r="S70" s="54"/>
      <c r="T70" s="53">
        <f t="shared" si="5"/>
      </c>
      <c r="U70" s="51" t="s">
        <v>23</v>
      </c>
      <c r="V70" s="54">
        <f t="shared" si="6"/>
      </c>
      <c r="X70" s="51" t="s">
        <v>44</v>
      </c>
      <c r="Y70" s="51" t="s">
        <v>44</v>
      </c>
    </row>
    <row r="71" spans="2:25" ht="12.75" hidden="1" outlineLevel="1">
      <c r="B71" s="36">
        <f>+B67+1</f>
        <v>38</v>
      </c>
      <c r="C71" s="41">
        <f>+Daten!P17</f>
        <v>0.5972222222222224</v>
      </c>
      <c r="D71" s="36">
        <f t="shared" si="7"/>
        <v>129</v>
      </c>
      <c r="E71" s="36">
        <v>1</v>
      </c>
      <c r="F71" s="42"/>
      <c r="G71" s="36"/>
      <c r="H71" s="43"/>
      <c r="I71" s="44" t="s">
        <v>24</v>
      </c>
      <c r="J71" s="42"/>
      <c r="K71" s="36"/>
      <c r="L71" s="43"/>
      <c r="M71" s="42"/>
      <c r="N71" s="36"/>
      <c r="O71" s="43"/>
      <c r="P71" s="45"/>
      <c r="Q71" s="36"/>
      <c r="R71" s="44" t="s">
        <v>23</v>
      </c>
      <c r="S71" s="47"/>
      <c r="T71" s="46">
        <f t="shared" si="5"/>
      </c>
      <c r="U71" s="44" t="s">
        <v>23</v>
      </c>
      <c r="V71" s="47">
        <f t="shared" si="6"/>
      </c>
      <c r="X71" s="44" t="s">
        <v>44</v>
      </c>
      <c r="Y71" s="44" t="s">
        <v>44</v>
      </c>
    </row>
    <row r="72" spans="2:25" ht="12.75" hidden="1" outlineLevel="1">
      <c r="B72" s="36"/>
      <c r="C72" s="36"/>
      <c r="D72" s="36">
        <f t="shared" si="7"/>
        <v>130</v>
      </c>
      <c r="E72" s="36">
        <v>2</v>
      </c>
      <c r="F72" s="42"/>
      <c r="G72" s="36"/>
      <c r="H72" s="43"/>
      <c r="I72" s="44" t="s">
        <v>24</v>
      </c>
      <c r="J72" s="42"/>
      <c r="K72" s="36"/>
      <c r="L72" s="43"/>
      <c r="M72" s="42"/>
      <c r="N72" s="36"/>
      <c r="O72" s="43"/>
      <c r="P72" s="45"/>
      <c r="Q72" s="36"/>
      <c r="R72" s="44" t="s">
        <v>23</v>
      </c>
      <c r="S72" s="47"/>
      <c r="T72" s="46">
        <f aca="true" t="shared" si="8" ref="T72:T78">IF(Q72="","",IF(Q72&gt;S72,2,IF(Q72&lt;S72,0,1)))</f>
      </c>
      <c r="U72" s="44" t="s">
        <v>23</v>
      </c>
      <c r="V72" s="47">
        <f aca="true" t="shared" si="9" ref="V72:V78">IF(S72="","",IF(S72&gt;Q72,2,IF(S72&lt;Q72,0,1)))</f>
      </c>
      <c r="X72" s="44" t="s">
        <v>44</v>
      </c>
      <c r="Y72" s="44" t="s">
        <v>44</v>
      </c>
    </row>
    <row r="73" spans="2:25" ht="12.75" hidden="1" outlineLevel="1">
      <c r="B73" s="36"/>
      <c r="C73" s="36"/>
      <c r="D73" s="36">
        <f t="shared" si="7"/>
        <v>131</v>
      </c>
      <c r="E73" s="36">
        <v>3</v>
      </c>
      <c r="F73" s="42"/>
      <c r="G73" s="36"/>
      <c r="H73" s="43"/>
      <c r="I73" s="44" t="s">
        <v>24</v>
      </c>
      <c r="J73" s="42"/>
      <c r="K73" s="36"/>
      <c r="L73" s="43"/>
      <c r="M73" s="42"/>
      <c r="N73" s="36"/>
      <c r="O73" s="43"/>
      <c r="P73" s="45"/>
      <c r="Q73" s="36"/>
      <c r="R73" s="44" t="s">
        <v>23</v>
      </c>
      <c r="S73" s="47"/>
      <c r="T73" s="46">
        <f t="shared" si="8"/>
      </c>
      <c r="U73" s="44" t="s">
        <v>23</v>
      </c>
      <c r="V73" s="47">
        <f t="shared" si="9"/>
      </c>
      <c r="X73" s="44" t="s">
        <v>44</v>
      </c>
      <c r="Y73" s="44" t="s">
        <v>44</v>
      </c>
    </row>
    <row r="74" spans="2:25" ht="12.75" hidden="1" outlineLevel="1">
      <c r="B74" s="48"/>
      <c r="C74" s="48"/>
      <c r="D74" s="48">
        <f t="shared" si="7"/>
        <v>132</v>
      </c>
      <c r="E74" s="48">
        <v>4</v>
      </c>
      <c r="F74" s="49"/>
      <c r="G74" s="48"/>
      <c r="H74" s="50"/>
      <c r="I74" s="51" t="s">
        <v>24</v>
      </c>
      <c r="J74" s="49"/>
      <c r="K74" s="48"/>
      <c r="L74" s="50"/>
      <c r="M74" s="49"/>
      <c r="N74" s="48"/>
      <c r="O74" s="50"/>
      <c r="P74" s="52"/>
      <c r="Q74" s="48"/>
      <c r="R74" s="51" t="s">
        <v>23</v>
      </c>
      <c r="S74" s="54"/>
      <c r="T74" s="53">
        <f t="shared" si="8"/>
      </c>
      <c r="U74" s="51" t="s">
        <v>23</v>
      </c>
      <c r="V74" s="54">
        <f t="shared" si="9"/>
      </c>
      <c r="X74" s="51" t="s">
        <v>44</v>
      </c>
      <c r="Y74" s="51" t="s">
        <v>44</v>
      </c>
    </row>
    <row r="75" spans="2:25" ht="12.75" hidden="1" outlineLevel="1">
      <c r="B75" s="36">
        <f>+B71+1</f>
        <v>39</v>
      </c>
      <c r="C75" s="41">
        <f>+Daten!P18</f>
        <v>0.6145833333333336</v>
      </c>
      <c r="D75" s="36">
        <f t="shared" si="7"/>
        <v>133</v>
      </c>
      <c r="E75" s="36">
        <v>1</v>
      </c>
      <c r="F75" s="42"/>
      <c r="G75" s="36"/>
      <c r="H75" s="43"/>
      <c r="I75" s="44" t="s">
        <v>24</v>
      </c>
      <c r="J75" s="42"/>
      <c r="K75" s="36"/>
      <c r="L75" s="43"/>
      <c r="M75" s="42"/>
      <c r="N75" s="36"/>
      <c r="O75" s="43"/>
      <c r="P75" s="45"/>
      <c r="Q75" s="36"/>
      <c r="R75" s="44" t="s">
        <v>23</v>
      </c>
      <c r="S75" s="47"/>
      <c r="T75" s="46">
        <f t="shared" si="8"/>
      </c>
      <c r="U75" s="44" t="s">
        <v>23</v>
      </c>
      <c r="V75" s="47">
        <f t="shared" si="9"/>
      </c>
      <c r="X75" s="44" t="s">
        <v>44</v>
      </c>
      <c r="Y75" s="44" t="s">
        <v>44</v>
      </c>
    </row>
    <row r="76" spans="2:25" ht="12.75" hidden="1" outlineLevel="1">
      <c r="B76" s="36"/>
      <c r="C76" s="36"/>
      <c r="D76" s="36">
        <f t="shared" si="7"/>
        <v>134</v>
      </c>
      <c r="E76" s="36">
        <v>2</v>
      </c>
      <c r="F76" s="42"/>
      <c r="G76" s="36"/>
      <c r="H76" s="43"/>
      <c r="I76" s="44" t="s">
        <v>24</v>
      </c>
      <c r="J76" s="42"/>
      <c r="K76" s="36"/>
      <c r="L76" s="43"/>
      <c r="M76" s="42"/>
      <c r="N76" s="36"/>
      <c r="O76" s="43"/>
      <c r="P76" s="45"/>
      <c r="Q76" s="36"/>
      <c r="R76" s="44" t="s">
        <v>23</v>
      </c>
      <c r="S76" s="47"/>
      <c r="T76" s="46">
        <f t="shared" si="8"/>
      </c>
      <c r="U76" s="44" t="s">
        <v>23</v>
      </c>
      <c r="V76" s="47">
        <f t="shared" si="9"/>
      </c>
      <c r="X76" s="44" t="s">
        <v>44</v>
      </c>
      <c r="Y76" s="44" t="s">
        <v>44</v>
      </c>
    </row>
    <row r="77" spans="2:25" ht="12.75" hidden="1" outlineLevel="1">
      <c r="B77" s="36"/>
      <c r="C77" s="36"/>
      <c r="D77" s="36">
        <f t="shared" si="7"/>
        <v>135</v>
      </c>
      <c r="E77" s="36">
        <v>3</v>
      </c>
      <c r="F77" s="42"/>
      <c r="G77" s="36"/>
      <c r="H77" s="43"/>
      <c r="I77" s="44" t="s">
        <v>24</v>
      </c>
      <c r="J77" s="42"/>
      <c r="K77" s="36"/>
      <c r="L77" s="43"/>
      <c r="M77" s="42"/>
      <c r="N77" s="36"/>
      <c r="O77" s="43"/>
      <c r="P77" s="45"/>
      <c r="Q77" s="36"/>
      <c r="R77" s="44" t="s">
        <v>23</v>
      </c>
      <c r="S77" s="47"/>
      <c r="T77" s="46">
        <f t="shared" si="8"/>
      </c>
      <c r="U77" s="44" t="s">
        <v>23</v>
      </c>
      <c r="V77" s="47">
        <f t="shared" si="9"/>
      </c>
      <c r="X77" s="44" t="s">
        <v>44</v>
      </c>
      <c r="Y77" s="44" t="s">
        <v>44</v>
      </c>
    </row>
    <row r="78" spans="2:25" ht="12.75" hidden="1" outlineLevel="1">
      <c r="B78" s="48"/>
      <c r="C78" s="48"/>
      <c r="D78" s="48">
        <f t="shared" si="7"/>
        <v>136</v>
      </c>
      <c r="E78" s="48">
        <v>4</v>
      </c>
      <c r="F78" s="49"/>
      <c r="G78" s="48"/>
      <c r="H78" s="50"/>
      <c r="I78" s="51" t="s">
        <v>24</v>
      </c>
      <c r="J78" s="49"/>
      <c r="K78" s="48"/>
      <c r="L78" s="50"/>
      <c r="M78" s="49"/>
      <c r="N78" s="48"/>
      <c r="O78" s="50"/>
      <c r="P78" s="52"/>
      <c r="Q78" s="48"/>
      <c r="R78" s="51" t="s">
        <v>23</v>
      </c>
      <c r="S78" s="54"/>
      <c r="T78" s="53">
        <f t="shared" si="8"/>
      </c>
      <c r="U78" s="51" t="s">
        <v>23</v>
      </c>
      <c r="V78" s="54">
        <f t="shared" si="9"/>
      </c>
      <c r="X78" s="51" t="s">
        <v>44</v>
      </c>
      <c r="Y78" s="51" t="s">
        <v>44</v>
      </c>
    </row>
    <row r="79" spans="16:19" ht="12.75" collapsed="1">
      <c r="P79" s="58"/>
      <c r="S79" s="136"/>
    </row>
    <row r="80" ht="12.75">
      <c r="S80" s="136"/>
    </row>
    <row r="81" ht="12.75">
      <c r="S81" s="136"/>
    </row>
    <row r="82" ht="12.75">
      <c r="S82" s="136"/>
    </row>
    <row r="83" ht="12.75">
      <c r="S83" s="136"/>
    </row>
    <row r="84" ht="12.75">
      <c r="S84" s="136"/>
    </row>
  </sheetData>
  <printOptions horizontalCentered="1" verticalCentered="1"/>
  <pageMargins left="0.5118110236220472" right="0.1968503937007874" top="0.3937007874015748" bottom="0.3937007874015748" header="0.5118110236220472" footer="0.31496062992125984"/>
  <pageSetup horizontalDpi="300" verticalDpi="300" orientation="portrait" paperSize="9" r:id="rId3"/>
  <headerFooter alignWithMargins="0">
    <oddFooter>&amp;R&amp;6&amp;D; &amp;F, &amp;A</oddFooter>
  </headerFooter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 Jugend in Güglingen</dc:title>
  <dc:subject>Prellball</dc:subject>
  <dc:creator>Stefan Reichelt</dc:creator>
  <cp:keywords/>
  <dc:description>20.-21.05.2006 beim TSV Güglingen</dc:description>
  <cp:lastModifiedBy>Axel Nowark</cp:lastModifiedBy>
  <cp:lastPrinted>2006-02-13T14:15:20Z</cp:lastPrinted>
  <dcterms:created xsi:type="dcterms:W3CDTF">1998-03-17T12:23:14Z</dcterms:created>
  <dcterms:modified xsi:type="dcterms:W3CDTF">2007-05-06T14:08:37Z</dcterms:modified>
  <cp:category>Wettkampfrat</cp:category>
  <cp:version/>
  <cp:contentType/>
  <cp:contentStatus/>
</cp:coreProperties>
</file>