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13425" activeTab="1"/>
  </bookViews>
  <sheets>
    <sheet name="Auslosung" sheetId="1" r:id="rId1"/>
    <sheet name="Samstag" sheetId="2" r:id="rId2"/>
    <sheet name="Sonntag" sheetId="3" r:id="rId3"/>
  </sheets>
  <definedNames/>
  <calcPr fullCalcOnLoad="1"/>
</workbook>
</file>

<file path=xl/comments3.xml><?xml version="1.0" encoding="utf-8"?>
<comments xmlns="http://schemas.openxmlformats.org/spreadsheetml/2006/main">
  <authors>
    <author>Ein gesch?tzter Microsoft Office Anwender</author>
  </authors>
  <commentList>
    <comment ref="B2" authorId="0">
      <text>
        <r>
          <rPr>
            <sz val="9"/>
            <rFont val="Tahoma"/>
            <family val="0"/>
          </rPr>
          <t>Bitte Leerzeichen eingeben</t>
        </r>
      </text>
    </comment>
    <comment ref="H2" authorId="0">
      <text>
        <r>
          <rPr>
            <sz val="9"/>
            <rFont val="Tahoma"/>
            <family val="0"/>
          </rPr>
          <t>Bitte Leerzeichen eingeben</t>
        </r>
      </text>
    </comment>
    <comment ref="L2" authorId="0">
      <text>
        <r>
          <rPr>
            <sz val="9"/>
            <rFont val="Tahoma"/>
            <family val="0"/>
          </rPr>
          <t>Bitte Leerzeichen eingeben</t>
        </r>
      </text>
    </comment>
    <comment ref="O2" authorId="0">
      <text>
        <r>
          <rPr>
            <sz val="9"/>
            <rFont val="Tahoma"/>
            <family val="0"/>
          </rPr>
          <t>Bitte Leerzeichen eingeben</t>
        </r>
      </text>
    </comment>
  </commentList>
</comments>
</file>

<file path=xl/sharedStrings.xml><?xml version="1.0" encoding="utf-8"?>
<sst xmlns="http://schemas.openxmlformats.org/spreadsheetml/2006/main" count="1653" uniqueCount="136">
  <si>
    <t>AUSLOSUNG</t>
  </si>
  <si>
    <t>GRUPPENEINTEILUNG</t>
  </si>
  <si>
    <t>42.DEUTSCHE PRELLBALL MEISTERSCHAFTEN DER JUGEND 2005</t>
  </si>
  <si>
    <t>Gruppe 1</t>
  </si>
  <si>
    <t>Gruppe 2</t>
  </si>
  <si>
    <t>3. West</t>
  </si>
  <si>
    <t>4. West</t>
  </si>
  <si>
    <t>1. West</t>
  </si>
  <si>
    <t>2. West</t>
  </si>
  <si>
    <t>3. Nord</t>
  </si>
  <si>
    <t>3. Süd</t>
  </si>
  <si>
    <t>1. Nord</t>
  </si>
  <si>
    <t>1. Süd</t>
  </si>
  <si>
    <t>2. Süd</t>
  </si>
  <si>
    <t>2. Nord</t>
  </si>
  <si>
    <t>weibl. Jugend 11-14</t>
  </si>
  <si>
    <t>Gruppe A</t>
  </si>
  <si>
    <t>Gruppe B</t>
  </si>
  <si>
    <t>weibl. Jugend 15-18</t>
  </si>
  <si>
    <t>Gruppe E</t>
  </si>
  <si>
    <t>Gruppe F</t>
  </si>
  <si>
    <t>männl. Jugend 11-14</t>
  </si>
  <si>
    <t>Gruppe C</t>
  </si>
  <si>
    <t>Gruppe D</t>
  </si>
  <si>
    <t>männl. Jugend 15-18</t>
  </si>
  <si>
    <t>Gruppe G</t>
  </si>
  <si>
    <t>Gruppe H</t>
  </si>
  <si>
    <t>42. Deutsche Prellball Meisterschaften der Jugend 2005</t>
  </si>
  <si>
    <t>w11</t>
  </si>
  <si>
    <t>w15</t>
  </si>
  <si>
    <t>m11</t>
  </si>
  <si>
    <t>m15</t>
  </si>
  <si>
    <t>VfL Oker</t>
  </si>
  <si>
    <t>TV Baden</t>
  </si>
  <si>
    <t>TuS Aschen-Strang</t>
  </si>
  <si>
    <t>Vegesacker TV</t>
  </si>
  <si>
    <t>MTV Markoldendorf</t>
  </si>
  <si>
    <t>MTV Jahn Schladen</t>
  </si>
  <si>
    <t>TSV Marienfelde</t>
  </si>
  <si>
    <t>TuS Concordia Hülsede</t>
  </si>
  <si>
    <t>Dg.</t>
  </si>
  <si>
    <t>Zeit</t>
  </si>
  <si>
    <t>Nr.</t>
  </si>
  <si>
    <t>Feld</t>
  </si>
  <si>
    <t>Mannschaft</t>
  </si>
  <si>
    <t>L / A</t>
  </si>
  <si>
    <t>HZ</t>
  </si>
  <si>
    <t>Ergebnis</t>
  </si>
  <si>
    <t>Punkte</t>
  </si>
  <si>
    <t>-</t>
  </si>
  <si>
    <t>:</t>
  </si>
  <si>
    <t>_ _ _/_ _ _</t>
  </si>
  <si>
    <t>SA</t>
  </si>
  <si>
    <t>aa</t>
  </si>
  <si>
    <t>a</t>
  </si>
  <si>
    <t>SA_E</t>
  </si>
  <si>
    <t>E-Spiele</t>
  </si>
  <si>
    <t>b</t>
  </si>
  <si>
    <t>c</t>
  </si>
  <si>
    <t>d</t>
  </si>
  <si>
    <t>bb</t>
  </si>
  <si>
    <t>e</t>
  </si>
  <si>
    <t>f</t>
  </si>
  <si>
    <t>g</t>
  </si>
  <si>
    <t>h</t>
  </si>
  <si>
    <t>cc</t>
  </si>
  <si>
    <t>i</t>
  </si>
  <si>
    <t>j</t>
  </si>
  <si>
    <t>k</t>
  </si>
  <si>
    <t>l</t>
  </si>
  <si>
    <t>dd</t>
  </si>
  <si>
    <t>m</t>
  </si>
  <si>
    <t>n</t>
  </si>
  <si>
    <t>o</t>
  </si>
  <si>
    <t>p</t>
  </si>
  <si>
    <t xml:space="preserve">SA1 </t>
  </si>
  <si>
    <t>ee</t>
  </si>
  <si>
    <t>q</t>
  </si>
  <si>
    <t>SA1_E</t>
  </si>
  <si>
    <t>r</t>
  </si>
  <si>
    <t>s</t>
  </si>
  <si>
    <t>t</t>
  </si>
  <si>
    <t>ff</t>
  </si>
  <si>
    <t>u</t>
  </si>
  <si>
    <t>v</t>
  </si>
  <si>
    <t>w</t>
  </si>
  <si>
    <t>x</t>
  </si>
  <si>
    <t>gg</t>
  </si>
  <si>
    <t>y</t>
  </si>
  <si>
    <t>z</t>
  </si>
  <si>
    <t>a1</t>
  </si>
  <si>
    <t>a2</t>
  </si>
  <si>
    <t>hh</t>
  </si>
  <si>
    <t>a3</t>
  </si>
  <si>
    <t>a4</t>
  </si>
  <si>
    <t>a5</t>
  </si>
  <si>
    <t>a6</t>
  </si>
  <si>
    <t/>
  </si>
  <si>
    <t>SO</t>
  </si>
  <si>
    <t>Pl-Kreuz</t>
  </si>
  <si>
    <t>SO_1</t>
  </si>
  <si>
    <t>Platz 9</t>
  </si>
  <si>
    <t>Platz 7</t>
  </si>
  <si>
    <t>SO_2</t>
  </si>
  <si>
    <t>Vorkreuz</t>
  </si>
  <si>
    <t>SO_3</t>
  </si>
  <si>
    <t>Kreuz</t>
  </si>
  <si>
    <t>SO_4</t>
  </si>
  <si>
    <t>Platz 5</t>
  </si>
  <si>
    <t>Platz 3</t>
  </si>
  <si>
    <t>SO_End</t>
  </si>
  <si>
    <t>Endspiel</t>
  </si>
  <si>
    <t>TV Jahn Bad Lippspringe</t>
  </si>
  <si>
    <t>TuS Grün-Weiß Wuppertal</t>
  </si>
  <si>
    <t>TV Walpershofen</t>
  </si>
  <si>
    <t>Gadderbaumer TV</t>
  </si>
  <si>
    <t>TV Frisch-Auf Altenbochum</t>
  </si>
  <si>
    <t>TSV Wuchzenhofen</t>
  </si>
  <si>
    <t>TV Freibug St. Georgen</t>
  </si>
  <si>
    <t>TV Berkenbaum</t>
  </si>
  <si>
    <t>TV Sottrum</t>
  </si>
  <si>
    <t>VfL Waiblingen</t>
  </si>
  <si>
    <t>TV Hochneukirch</t>
  </si>
  <si>
    <t>TV Hemer</t>
  </si>
  <si>
    <t>TSV Babenhausen</t>
  </si>
  <si>
    <t>TV Freiburg St. Georgen</t>
  </si>
  <si>
    <t>GSV Gundernhausen</t>
  </si>
  <si>
    <t>TV Zeilhard</t>
  </si>
  <si>
    <t>TV Oberschopfheim</t>
  </si>
  <si>
    <t>TSV Güglingen</t>
  </si>
  <si>
    <t>SG Aumund Vegesack</t>
  </si>
  <si>
    <t>TuS Meinerzhagen</t>
  </si>
  <si>
    <t>ATV Bad Honnef-Selhof</t>
  </si>
  <si>
    <t>TV Huchenfeld</t>
  </si>
  <si>
    <t>Linden-Dahlhauser TV</t>
  </si>
  <si>
    <t>TSV Ludwigshafen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</si>
</sst>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sz val="14"/>
      <name val="Futura XBlk BT"/>
      <family val="2"/>
    </font>
    <font>
      <sz val="12"/>
      <name val="Futura Md BT"/>
      <family val="2"/>
    </font>
    <font>
      <sz val="10"/>
      <name val="Futura Md BT"/>
      <family val="2"/>
    </font>
    <font>
      <sz val="10"/>
      <name val="Futura Lt BT"/>
      <family val="2"/>
    </font>
    <font>
      <u val="single"/>
      <sz val="10"/>
      <name val="Futura Md BT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9"/>
      <name val="System"/>
      <family val="0"/>
    </font>
    <font>
      <sz val="6"/>
      <name val="Times New Roman"/>
      <family val="1"/>
    </font>
    <font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 vertical="top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18" applyFont="1" applyBorder="1" applyAlignment="1">
      <alignment horizontal="center"/>
      <protection/>
    </xf>
    <xf numFmtId="20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0" xfId="18" applyFont="1" applyBorder="1">
      <alignment/>
      <protection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8" fillId="0" borderId="2" xfId="18" applyFont="1" applyBorder="1">
      <alignment/>
      <protection/>
    </xf>
    <xf numFmtId="0" fontId="8" fillId="0" borderId="2" xfId="0" applyFont="1" applyBorder="1" applyAlignment="1">
      <alignment horizontal="center"/>
    </xf>
    <xf numFmtId="49" fontId="8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2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/>
    </xf>
    <xf numFmtId="20" fontId="8" fillId="0" borderId="3" xfId="0" applyNumberFormat="1" applyFont="1" applyBorder="1" applyAlignment="1">
      <alignment/>
    </xf>
    <xf numFmtId="0" fontId="12" fillId="0" borderId="3" xfId="0" applyFont="1" applyBorder="1" applyAlignment="1">
      <alignment/>
    </xf>
    <xf numFmtId="0" fontId="8" fillId="0" borderId="3" xfId="18" applyFont="1" applyBorder="1">
      <alignment/>
      <protection/>
    </xf>
    <xf numFmtId="0" fontId="8" fillId="0" borderId="3" xfId="0" applyFont="1" applyBorder="1" applyAlignment="1">
      <alignment horizontal="center"/>
    </xf>
    <xf numFmtId="49" fontId="8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/>
    </xf>
    <xf numFmtId="0" fontId="8" fillId="0" borderId="3" xfId="0" applyFont="1" applyFill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Percent" xfId="17"/>
    <cellStyle name="Standard_SEN-SA94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6" sqref="B16:C16"/>
    </sheetView>
  </sheetViews>
  <sheetFormatPr defaultColWidth="11.421875" defaultRowHeight="12.75"/>
  <sheetData>
    <row r="1" spans="1:8" s="1" customFormat="1" ht="18">
      <c r="A1" s="41" t="s">
        <v>0</v>
      </c>
      <c r="B1" s="41"/>
      <c r="C1" s="41"/>
      <c r="D1" s="41"/>
      <c r="E1" s="41"/>
      <c r="F1" s="41"/>
      <c r="G1" s="41"/>
      <c r="H1" s="41"/>
    </row>
    <row r="2" spans="1:8" s="1" customFormat="1" ht="18">
      <c r="A2" s="41" t="s">
        <v>1</v>
      </c>
      <c r="B2" s="41"/>
      <c r="C2" s="41"/>
      <c r="D2" s="41"/>
      <c r="E2" s="41"/>
      <c r="F2" s="41"/>
      <c r="G2" s="41"/>
      <c r="H2" s="41"/>
    </row>
    <row r="3" spans="1:8" s="1" customFormat="1" ht="18">
      <c r="A3" s="41" t="s">
        <v>2</v>
      </c>
      <c r="B3" s="41"/>
      <c r="C3" s="41"/>
      <c r="D3" s="41"/>
      <c r="E3" s="41"/>
      <c r="F3" s="41"/>
      <c r="G3" s="41"/>
      <c r="H3" s="41"/>
    </row>
    <row r="7" spans="2:7" ht="15">
      <c r="B7" s="42" t="s">
        <v>3</v>
      </c>
      <c r="C7" s="42"/>
      <c r="F7" s="42" t="s">
        <v>4</v>
      </c>
      <c r="G7" s="42"/>
    </row>
    <row r="9" spans="2:7" s="2" customFormat="1" ht="19.5" customHeight="1">
      <c r="B9" s="43" t="s">
        <v>5</v>
      </c>
      <c r="C9" s="43"/>
      <c r="F9" s="43" t="s">
        <v>6</v>
      </c>
      <c r="G9" s="43"/>
    </row>
    <row r="10" spans="2:7" s="2" customFormat="1" ht="19.5" customHeight="1">
      <c r="B10" s="43" t="s">
        <v>7</v>
      </c>
      <c r="C10" s="43"/>
      <c r="F10" s="43" t="s">
        <v>8</v>
      </c>
      <c r="G10" s="43"/>
    </row>
    <row r="11" spans="2:7" s="2" customFormat="1" ht="19.5" customHeight="1">
      <c r="B11" s="43" t="s">
        <v>9</v>
      </c>
      <c r="C11" s="43"/>
      <c r="F11" s="43" t="s">
        <v>10</v>
      </c>
      <c r="G11" s="43"/>
    </row>
    <row r="12" spans="2:7" s="2" customFormat="1" ht="19.5" customHeight="1">
      <c r="B12" s="43" t="s">
        <v>11</v>
      </c>
      <c r="C12" s="43"/>
      <c r="F12" s="43" t="s">
        <v>12</v>
      </c>
      <c r="G12" s="43"/>
    </row>
    <row r="13" spans="2:7" s="2" customFormat="1" ht="19.5" customHeight="1">
      <c r="B13" s="43" t="s">
        <v>13</v>
      </c>
      <c r="C13" s="43"/>
      <c r="F13" s="43" t="s">
        <v>14</v>
      </c>
      <c r="G13" s="43"/>
    </row>
    <row r="14" s="3" customFormat="1" ht="12.75"/>
    <row r="15" s="3" customFormat="1" ht="12.75"/>
    <row r="16" spans="2:7" s="3" customFormat="1" ht="12.75">
      <c r="B16" s="44" t="s">
        <v>15</v>
      </c>
      <c r="C16" s="44"/>
      <c r="F16" s="44" t="s">
        <v>15</v>
      </c>
      <c r="G16" s="44"/>
    </row>
    <row r="17" spans="2:7" s="3" customFormat="1" ht="12.75">
      <c r="B17" s="44" t="s">
        <v>16</v>
      </c>
      <c r="C17" s="44"/>
      <c r="F17" s="44" t="s">
        <v>17</v>
      </c>
      <c r="G17" s="44"/>
    </row>
    <row r="18" spans="2:7" s="3" customFormat="1" ht="12.75">
      <c r="B18" s="45" t="s">
        <v>5</v>
      </c>
      <c r="C18" s="45"/>
      <c r="F18" s="45" t="s">
        <v>6</v>
      </c>
      <c r="G18" s="45"/>
    </row>
    <row r="19" spans="2:7" s="3" customFormat="1" ht="12.75">
      <c r="B19" s="45" t="s">
        <v>7</v>
      </c>
      <c r="C19" s="45"/>
      <c r="F19" s="45" t="s">
        <v>8</v>
      </c>
      <c r="G19" s="45"/>
    </row>
    <row r="20" spans="2:7" s="3" customFormat="1" ht="12.75">
      <c r="B20" s="45" t="s">
        <v>9</v>
      </c>
      <c r="C20" s="45"/>
      <c r="F20" s="45" t="s">
        <v>10</v>
      </c>
      <c r="G20" s="45"/>
    </row>
    <row r="21" spans="2:7" s="3" customFormat="1" ht="12.75">
      <c r="B21" s="45" t="s">
        <v>11</v>
      </c>
      <c r="C21" s="45"/>
      <c r="F21" s="45" t="s">
        <v>12</v>
      </c>
      <c r="G21" s="45"/>
    </row>
    <row r="22" spans="2:7" s="3" customFormat="1" ht="12.75">
      <c r="B22" s="45" t="s">
        <v>13</v>
      </c>
      <c r="C22" s="45"/>
      <c r="F22" s="45" t="s">
        <v>14</v>
      </c>
      <c r="G22" s="45"/>
    </row>
    <row r="23" s="3" customFormat="1" ht="12.75"/>
    <row r="24" spans="2:7" s="3" customFormat="1" ht="12.75">
      <c r="B24" s="44" t="s">
        <v>18</v>
      </c>
      <c r="C24" s="44"/>
      <c r="F24" s="44" t="s">
        <v>18</v>
      </c>
      <c r="G24" s="44"/>
    </row>
    <row r="25" spans="2:7" s="3" customFormat="1" ht="12.75">
      <c r="B25" s="44" t="s">
        <v>19</v>
      </c>
      <c r="C25" s="44"/>
      <c r="F25" s="44" t="s">
        <v>20</v>
      </c>
      <c r="G25" s="44"/>
    </row>
    <row r="26" spans="2:7" s="3" customFormat="1" ht="12.75">
      <c r="B26" s="45" t="s">
        <v>5</v>
      </c>
      <c r="C26" s="45"/>
      <c r="F26" s="45" t="s">
        <v>6</v>
      </c>
      <c r="G26" s="45"/>
    </row>
    <row r="27" spans="2:7" s="3" customFormat="1" ht="12.75">
      <c r="B27" s="45" t="s">
        <v>7</v>
      </c>
      <c r="C27" s="45"/>
      <c r="F27" s="45" t="s">
        <v>8</v>
      </c>
      <c r="G27" s="45"/>
    </row>
    <row r="28" spans="2:7" s="3" customFormat="1" ht="12.75">
      <c r="B28" s="45" t="s">
        <v>9</v>
      </c>
      <c r="C28" s="45"/>
      <c r="F28" s="45" t="s">
        <v>10</v>
      </c>
      <c r="G28" s="45"/>
    </row>
    <row r="29" spans="2:7" s="3" customFormat="1" ht="12.75">
      <c r="B29" s="45" t="s">
        <v>11</v>
      </c>
      <c r="C29" s="45"/>
      <c r="F29" s="45" t="s">
        <v>12</v>
      </c>
      <c r="G29" s="45"/>
    </row>
    <row r="30" spans="2:7" s="3" customFormat="1" ht="12.75">
      <c r="B30" s="45" t="s">
        <v>13</v>
      </c>
      <c r="C30" s="45"/>
      <c r="F30" s="45" t="s">
        <v>14</v>
      </c>
      <c r="G30" s="45"/>
    </row>
    <row r="31" s="3" customFormat="1" ht="12.75"/>
    <row r="32" spans="2:7" s="3" customFormat="1" ht="12.75">
      <c r="B32" s="44" t="s">
        <v>21</v>
      </c>
      <c r="C32" s="44"/>
      <c r="F32" s="44" t="s">
        <v>21</v>
      </c>
      <c r="G32" s="44"/>
    </row>
    <row r="33" spans="2:7" s="3" customFormat="1" ht="12.75">
      <c r="B33" s="44" t="s">
        <v>22</v>
      </c>
      <c r="C33" s="44"/>
      <c r="F33" s="44" t="s">
        <v>23</v>
      </c>
      <c r="G33" s="44"/>
    </row>
    <row r="34" spans="2:7" s="3" customFormat="1" ht="12.75">
      <c r="B34" s="45" t="s">
        <v>5</v>
      </c>
      <c r="C34" s="45"/>
      <c r="F34" s="45" t="s">
        <v>6</v>
      </c>
      <c r="G34" s="45"/>
    </row>
    <row r="35" spans="2:7" s="3" customFormat="1" ht="12.75">
      <c r="B35" s="45" t="s">
        <v>7</v>
      </c>
      <c r="C35" s="45"/>
      <c r="F35" s="45" t="s">
        <v>8</v>
      </c>
      <c r="G35" s="45"/>
    </row>
    <row r="36" spans="2:7" s="3" customFormat="1" ht="12.75">
      <c r="B36" s="45" t="s">
        <v>9</v>
      </c>
      <c r="C36" s="45"/>
      <c r="F36" s="45" t="s">
        <v>10</v>
      </c>
      <c r="G36" s="45"/>
    </row>
    <row r="37" spans="2:7" s="3" customFormat="1" ht="12.75">
      <c r="B37" s="45" t="s">
        <v>11</v>
      </c>
      <c r="C37" s="45"/>
      <c r="F37" s="45" t="s">
        <v>12</v>
      </c>
      <c r="G37" s="45"/>
    </row>
    <row r="38" spans="2:7" s="3" customFormat="1" ht="12.75">
      <c r="B38" s="45" t="s">
        <v>13</v>
      </c>
      <c r="C38" s="45"/>
      <c r="F38" s="45" t="s">
        <v>14</v>
      </c>
      <c r="G38" s="45"/>
    </row>
    <row r="39" s="3" customFormat="1" ht="12.75"/>
    <row r="40" spans="2:7" s="3" customFormat="1" ht="12.75">
      <c r="B40" s="44" t="s">
        <v>24</v>
      </c>
      <c r="C40" s="44"/>
      <c r="F40" s="44" t="s">
        <v>24</v>
      </c>
      <c r="G40" s="44"/>
    </row>
    <row r="41" spans="2:7" s="3" customFormat="1" ht="12.75">
      <c r="B41" s="44" t="s">
        <v>25</v>
      </c>
      <c r="C41" s="44"/>
      <c r="F41" s="44" t="s">
        <v>26</v>
      </c>
      <c r="G41" s="44"/>
    </row>
    <row r="42" spans="2:7" s="3" customFormat="1" ht="12.75">
      <c r="B42" s="45" t="s">
        <v>5</v>
      </c>
      <c r="C42" s="45"/>
      <c r="F42" s="45" t="s">
        <v>6</v>
      </c>
      <c r="G42" s="45"/>
    </row>
    <row r="43" spans="2:7" s="3" customFormat="1" ht="12.75">
      <c r="B43" s="45" t="s">
        <v>7</v>
      </c>
      <c r="C43" s="45"/>
      <c r="F43" s="45" t="s">
        <v>8</v>
      </c>
      <c r="G43" s="45"/>
    </row>
    <row r="44" spans="2:7" ht="12.75">
      <c r="B44" s="45" t="s">
        <v>9</v>
      </c>
      <c r="C44" s="45"/>
      <c r="F44" s="45" t="s">
        <v>10</v>
      </c>
      <c r="G44" s="45"/>
    </row>
    <row r="45" spans="2:7" ht="12.75">
      <c r="B45" s="45" t="s">
        <v>11</v>
      </c>
      <c r="C45" s="45"/>
      <c r="F45" s="45" t="s">
        <v>12</v>
      </c>
      <c r="G45" s="45"/>
    </row>
    <row r="46" spans="2:7" ht="12.75">
      <c r="B46" s="45" t="s">
        <v>13</v>
      </c>
      <c r="C46" s="45"/>
      <c r="F46" s="45" t="s">
        <v>14</v>
      </c>
      <c r="G46" s="45"/>
    </row>
  </sheetData>
  <mergeCells count="71">
    <mergeCell ref="B46:C46"/>
    <mergeCell ref="F46:G46"/>
    <mergeCell ref="B44:C44"/>
    <mergeCell ref="F44:G44"/>
    <mergeCell ref="B45:C45"/>
    <mergeCell ref="F45:G45"/>
    <mergeCell ref="B42:C42"/>
    <mergeCell ref="F42:G42"/>
    <mergeCell ref="B43:C43"/>
    <mergeCell ref="F43:G43"/>
    <mergeCell ref="B40:C40"/>
    <mergeCell ref="F40:G40"/>
    <mergeCell ref="B41:C41"/>
    <mergeCell ref="F41:G41"/>
    <mergeCell ref="B37:C37"/>
    <mergeCell ref="F37:G37"/>
    <mergeCell ref="B38:C38"/>
    <mergeCell ref="F38:G38"/>
    <mergeCell ref="B35:C35"/>
    <mergeCell ref="F35:G35"/>
    <mergeCell ref="B36:C36"/>
    <mergeCell ref="F36:G36"/>
    <mergeCell ref="B33:C33"/>
    <mergeCell ref="F33:G33"/>
    <mergeCell ref="B34:C34"/>
    <mergeCell ref="F34:G34"/>
    <mergeCell ref="B30:C30"/>
    <mergeCell ref="F30:G30"/>
    <mergeCell ref="B32:C32"/>
    <mergeCell ref="F32:G32"/>
    <mergeCell ref="B28:C28"/>
    <mergeCell ref="F28:G28"/>
    <mergeCell ref="B29:C29"/>
    <mergeCell ref="F29:G29"/>
    <mergeCell ref="B26:C26"/>
    <mergeCell ref="F26:G26"/>
    <mergeCell ref="B27:C27"/>
    <mergeCell ref="F27:G27"/>
    <mergeCell ref="B24:C24"/>
    <mergeCell ref="F24:G24"/>
    <mergeCell ref="B25:C25"/>
    <mergeCell ref="F25:G25"/>
    <mergeCell ref="B21:C21"/>
    <mergeCell ref="F21:G21"/>
    <mergeCell ref="B22:C22"/>
    <mergeCell ref="F22:G22"/>
    <mergeCell ref="B19:C19"/>
    <mergeCell ref="F19:G19"/>
    <mergeCell ref="B20:C20"/>
    <mergeCell ref="F20:G20"/>
    <mergeCell ref="B17:C17"/>
    <mergeCell ref="F17:G17"/>
    <mergeCell ref="B18:C18"/>
    <mergeCell ref="F18:G18"/>
    <mergeCell ref="B13:C13"/>
    <mergeCell ref="F13:G13"/>
    <mergeCell ref="B16:C16"/>
    <mergeCell ref="F16:G16"/>
    <mergeCell ref="B11:C11"/>
    <mergeCell ref="F11:G11"/>
    <mergeCell ref="B12:C12"/>
    <mergeCell ref="F12:G12"/>
    <mergeCell ref="B9:C9"/>
    <mergeCell ref="F9:G9"/>
    <mergeCell ref="B10:C10"/>
    <mergeCell ref="F10:G10"/>
    <mergeCell ref="A1:H1"/>
    <mergeCell ref="A2:H2"/>
    <mergeCell ref="A3:H3"/>
    <mergeCell ref="B7:C7"/>
    <mergeCell ref="F7:G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3"/>
  <sheetViews>
    <sheetView tabSelected="1" workbookViewId="0" topLeftCell="B1">
      <selection activeCell="C23" sqref="C23"/>
    </sheetView>
  </sheetViews>
  <sheetFormatPr defaultColWidth="11.421875" defaultRowHeight="12.75" outlineLevelRow="1" outlineLevelCol="1"/>
  <cols>
    <col min="1" max="1" width="3.00390625" style="4" hidden="1" customWidth="1" outlineLevel="1"/>
    <col min="2" max="2" width="3.7109375" style="4" customWidth="1" collapsed="1"/>
    <col min="3" max="3" width="4.8515625" style="4" customWidth="1"/>
    <col min="4" max="4" width="3.28125" style="4" customWidth="1"/>
    <col min="5" max="5" width="4.140625" style="4" customWidth="1"/>
    <col min="6" max="6" width="3.140625" style="4" customWidth="1"/>
    <col min="7" max="7" width="2.7109375" style="4" hidden="1" customWidth="1" outlineLevel="1"/>
    <col min="8" max="8" width="16.7109375" style="4" customWidth="1" collapsed="1"/>
    <col min="9" max="9" width="1.421875" style="4" customWidth="1"/>
    <col min="10" max="10" width="3.140625" style="4" customWidth="1"/>
    <col min="11" max="11" width="2.7109375" style="4" hidden="1" customWidth="1" outlineLevel="1"/>
    <col min="12" max="12" width="16.7109375" style="4" customWidth="1" collapsed="1"/>
    <col min="13" max="13" width="3.140625" style="4" customWidth="1"/>
    <col min="14" max="14" width="2.7109375" style="4" hidden="1" customWidth="1" outlineLevel="1"/>
    <col min="15" max="15" width="16.7109375" style="4" customWidth="1" collapsed="1"/>
    <col min="16" max="16" width="4.8515625" style="4" hidden="1" customWidth="1" outlineLevel="1"/>
    <col min="17" max="17" width="2.7109375" style="4" hidden="1" customWidth="1" outlineLevel="1"/>
    <col min="18" max="18" width="1.421875" style="4" hidden="1" customWidth="1" outlineLevel="1"/>
    <col min="19" max="20" width="2.7109375" style="4" hidden="1" customWidth="1" outlineLevel="1"/>
    <col min="21" max="21" width="1.421875" style="4" hidden="1" customWidth="1" outlineLevel="1"/>
    <col min="22" max="22" width="2.7109375" style="4" hidden="1" customWidth="1" outlineLevel="1"/>
    <col min="23" max="23" width="0.71875" style="4" customWidth="1" collapsed="1"/>
    <col min="24" max="25" width="8.28125" style="4" customWidth="1" outlineLevel="1"/>
    <col min="26" max="26" width="1.8515625" style="7" customWidth="1"/>
    <col min="27" max="27" width="5.57421875" style="4" bestFit="1" customWidth="1"/>
    <col min="28" max="28" width="4.57421875" style="4" customWidth="1"/>
    <col min="29" max="16384" width="11.421875" style="4" customWidth="1"/>
  </cols>
  <sheetData>
    <row r="1" spans="2:25" ht="18.75" customHeight="1">
      <c r="B1" s="5" t="s">
        <v>27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3" spans="1:25" ht="12.75" hidden="1" outlineLevel="1">
      <c r="A3" s="7"/>
      <c r="B3" s="7" t="s">
        <v>15</v>
      </c>
      <c r="C3" s="7"/>
      <c r="D3" s="7"/>
      <c r="E3" s="7"/>
      <c r="F3" s="7"/>
      <c r="G3" s="7"/>
      <c r="H3" s="7" t="s">
        <v>18</v>
      </c>
      <c r="I3" s="7"/>
      <c r="J3" s="7"/>
      <c r="K3" s="7"/>
      <c r="L3" s="7" t="s">
        <v>21</v>
      </c>
      <c r="M3" s="7"/>
      <c r="N3" s="7"/>
      <c r="O3" s="7" t="s">
        <v>24</v>
      </c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2.75" hidden="1" outlineLevel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4.5" customHeight="1" hidden="1" outlineLevel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2.75" hidden="1" outlineLevel="1">
      <c r="A6" s="7"/>
      <c r="B6" s="7" t="s">
        <v>28</v>
      </c>
      <c r="C6" s="7"/>
      <c r="D6" s="7"/>
      <c r="E6" s="7"/>
      <c r="F6" s="7"/>
      <c r="G6" s="7"/>
      <c r="H6" s="7" t="s">
        <v>29</v>
      </c>
      <c r="I6" s="7"/>
      <c r="J6" s="7"/>
      <c r="K6" s="7"/>
      <c r="L6" s="7" t="s">
        <v>30</v>
      </c>
      <c r="M6" s="7"/>
      <c r="N6" s="7"/>
      <c r="O6" s="7" t="s">
        <v>31</v>
      </c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 hidden="1" outlineLevel="1">
      <c r="A7" s="7">
        <v>1</v>
      </c>
      <c r="B7" s="46" t="s">
        <v>112</v>
      </c>
      <c r="C7" s="7"/>
      <c r="D7" s="7"/>
      <c r="E7" s="7"/>
      <c r="F7" s="7"/>
      <c r="G7" s="8"/>
      <c r="H7" s="46" t="s">
        <v>119</v>
      </c>
      <c r="I7" s="7"/>
      <c r="J7" s="7"/>
      <c r="K7" s="7"/>
      <c r="L7" s="46" t="s">
        <v>126</v>
      </c>
      <c r="M7" s="7"/>
      <c r="N7" s="7"/>
      <c r="O7" s="46" t="s">
        <v>131</v>
      </c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2.75" hidden="1" outlineLevel="1">
      <c r="A8" s="7">
        <v>2</v>
      </c>
      <c r="B8" s="46" t="s">
        <v>113</v>
      </c>
      <c r="C8" s="7"/>
      <c r="D8" s="7"/>
      <c r="E8" s="7"/>
      <c r="F8" s="7"/>
      <c r="G8" s="8"/>
      <c r="H8" s="46" t="s">
        <v>116</v>
      </c>
      <c r="I8" s="7"/>
      <c r="J8" s="7"/>
      <c r="K8" s="7"/>
      <c r="L8" s="46" t="s">
        <v>127</v>
      </c>
      <c r="M8" s="7"/>
      <c r="N8" s="7"/>
      <c r="O8" s="46" t="s">
        <v>132</v>
      </c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2.75" hidden="1" outlineLevel="1">
      <c r="A9" s="7">
        <v>3</v>
      </c>
      <c r="B9" s="46" t="s">
        <v>32</v>
      </c>
      <c r="C9" s="7"/>
      <c r="D9" s="7"/>
      <c r="E9" s="7"/>
      <c r="F9" s="7"/>
      <c r="G9" s="8"/>
      <c r="H9" s="46" t="s">
        <v>33</v>
      </c>
      <c r="I9" s="7"/>
      <c r="J9" s="7"/>
      <c r="K9" s="7"/>
      <c r="L9" s="46" t="s">
        <v>34</v>
      </c>
      <c r="M9" s="7"/>
      <c r="N9" s="7"/>
      <c r="O9" s="46" t="s">
        <v>35</v>
      </c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2.75" hidden="1" outlineLevel="1">
      <c r="A10" s="7">
        <v>4</v>
      </c>
      <c r="B10" s="46" t="s">
        <v>36</v>
      </c>
      <c r="C10" s="7"/>
      <c r="D10" s="7"/>
      <c r="E10" s="7"/>
      <c r="F10" s="7"/>
      <c r="G10" s="8"/>
      <c r="H10" s="46" t="s">
        <v>120</v>
      </c>
      <c r="I10" s="7"/>
      <c r="J10" s="7"/>
      <c r="K10" s="7"/>
      <c r="L10" s="46" t="s">
        <v>37</v>
      </c>
      <c r="M10" s="7"/>
      <c r="N10" s="7"/>
      <c r="O10" s="46" t="s">
        <v>37</v>
      </c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2.75" hidden="1" outlineLevel="1">
      <c r="A11" s="7">
        <v>5</v>
      </c>
      <c r="B11" s="46" t="s">
        <v>114</v>
      </c>
      <c r="C11" s="7"/>
      <c r="D11" s="7"/>
      <c r="E11" s="7"/>
      <c r="F11" s="7"/>
      <c r="G11" s="8"/>
      <c r="H11" s="46" t="s">
        <v>121</v>
      </c>
      <c r="I11" s="7"/>
      <c r="J11" s="7"/>
      <c r="K11" s="7"/>
      <c r="L11" s="46" t="s">
        <v>128</v>
      </c>
      <c r="M11" s="7"/>
      <c r="N11" s="7"/>
      <c r="O11" s="46" t="s">
        <v>133</v>
      </c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2.75" hidden="1" outlineLevel="1">
      <c r="A12" s="7">
        <v>11</v>
      </c>
      <c r="B12" s="47" t="s">
        <v>115</v>
      </c>
      <c r="C12" s="7"/>
      <c r="D12" s="7"/>
      <c r="E12" s="7"/>
      <c r="F12" s="7"/>
      <c r="G12" s="8"/>
      <c r="H12" s="47" t="s">
        <v>122</v>
      </c>
      <c r="I12" s="7"/>
      <c r="J12" s="7"/>
      <c r="K12" s="7"/>
      <c r="L12" s="47" t="s">
        <v>116</v>
      </c>
      <c r="M12" s="7"/>
      <c r="N12" s="7"/>
      <c r="O12" s="47" t="s">
        <v>134</v>
      </c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2.75" hidden="1" outlineLevel="1">
      <c r="A13" s="7">
        <v>12</v>
      </c>
      <c r="B13" s="47" t="s">
        <v>116</v>
      </c>
      <c r="C13" s="7"/>
      <c r="D13" s="7"/>
      <c r="E13" s="7"/>
      <c r="F13" s="7"/>
      <c r="G13" s="8"/>
      <c r="H13" s="47" t="s">
        <v>123</v>
      </c>
      <c r="I13" s="7"/>
      <c r="J13" s="7"/>
      <c r="K13" s="7"/>
      <c r="L13" s="47" t="s">
        <v>119</v>
      </c>
      <c r="M13" s="7"/>
      <c r="N13" s="7"/>
      <c r="O13" s="47" t="s">
        <v>112</v>
      </c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2.75" hidden="1" outlineLevel="1">
      <c r="A14" s="7">
        <v>13</v>
      </c>
      <c r="B14" s="47" t="s">
        <v>117</v>
      </c>
      <c r="C14" s="7"/>
      <c r="D14" s="7"/>
      <c r="E14" s="7"/>
      <c r="F14" s="7"/>
      <c r="G14" s="8"/>
      <c r="H14" s="47" t="s">
        <v>124</v>
      </c>
      <c r="I14" s="7"/>
      <c r="J14" s="7"/>
      <c r="K14" s="7"/>
      <c r="L14" s="47" t="s">
        <v>129</v>
      </c>
      <c r="M14" s="7"/>
      <c r="N14" s="7"/>
      <c r="O14" s="47" t="s">
        <v>121</v>
      </c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2.75" hidden="1" outlineLevel="1">
      <c r="A15" s="7">
        <v>14</v>
      </c>
      <c r="B15" s="47" t="s">
        <v>118</v>
      </c>
      <c r="C15" s="7"/>
      <c r="D15" s="7"/>
      <c r="E15" s="7"/>
      <c r="F15" s="7"/>
      <c r="G15" s="8"/>
      <c r="H15" s="47" t="s">
        <v>125</v>
      </c>
      <c r="I15" s="7"/>
      <c r="J15" s="7"/>
      <c r="K15" s="7"/>
      <c r="L15" s="47" t="s">
        <v>121</v>
      </c>
      <c r="M15" s="7"/>
      <c r="N15" s="7"/>
      <c r="O15" s="47" t="s">
        <v>135</v>
      </c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2.75" hidden="1" outlineLevel="1">
      <c r="A16" s="7">
        <v>15</v>
      </c>
      <c r="B16" s="47" t="s">
        <v>38</v>
      </c>
      <c r="C16" s="7"/>
      <c r="D16" s="7"/>
      <c r="E16" s="7"/>
      <c r="F16" s="7"/>
      <c r="G16" s="8"/>
      <c r="H16" s="47" t="s">
        <v>35</v>
      </c>
      <c r="I16" s="7"/>
      <c r="J16" s="7"/>
      <c r="K16" s="7"/>
      <c r="L16" s="47" t="s">
        <v>130</v>
      </c>
      <c r="M16" s="7"/>
      <c r="N16" s="7"/>
      <c r="O16" s="47" t="s">
        <v>39</v>
      </c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="7" customFormat="1" ht="11.25" hidden="1" outlineLevel="1">
      <c r="G17" s="8"/>
    </row>
    <row r="18" s="7" customFormat="1" ht="11.25" hidden="1" outlineLevel="1">
      <c r="G18" s="8"/>
    </row>
    <row r="19" s="7" customFormat="1" ht="11.25" hidden="1" outlineLevel="1">
      <c r="G19" s="8"/>
    </row>
    <row r="20" spans="1:15" ht="12.75" hidden="1" outlineLevel="1">
      <c r="A20" s="7"/>
      <c r="B20" s="7"/>
      <c r="G20"/>
      <c r="H20" s="7"/>
      <c r="I20" s="7"/>
      <c r="J20" s="7"/>
      <c r="K20" s="7"/>
      <c r="L20" s="7"/>
      <c r="M20" s="7"/>
      <c r="N20" s="7"/>
      <c r="O20" s="7"/>
    </row>
    <row r="21" ht="4.5" customHeight="1" hidden="1" outlineLevel="1"/>
    <row r="22" spans="2:25" s="7" customFormat="1" ht="12.75" customHeight="1" collapsed="1" thickBot="1">
      <c r="B22" s="9" t="s">
        <v>40</v>
      </c>
      <c r="C22" s="9" t="s">
        <v>41</v>
      </c>
      <c r="D22" s="9" t="s">
        <v>42</v>
      </c>
      <c r="E22" s="9" t="s">
        <v>43</v>
      </c>
      <c r="F22" s="9"/>
      <c r="G22" s="9"/>
      <c r="H22" s="9" t="s">
        <v>44</v>
      </c>
      <c r="I22" s="9"/>
      <c r="J22" s="9"/>
      <c r="K22" s="9"/>
      <c r="L22" s="9" t="s">
        <v>44</v>
      </c>
      <c r="M22" s="9"/>
      <c r="N22" s="9"/>
      <c r="O22" s="9" t="s">
        <v>45</v>
      </c>
      <c r="P22" s="9" t="s">
        <v>46</v>
      </c>
      <c r="Q22" s="9"/>
      <c r="R22" s="9" t="s">
        <v>47</v>
      </c>
      <c r="S22" s="9"/>
      <c r="T22" s="9"/>
      <c r="U22" s="9" t="s">
        <v>48</v>
      </c>
      <c r="V22" s="9"/>
      <c r="X22" s="9" t="s">
        <v>47</v>
      </c>
      <c r="Y22" s="9" t="s">
        <v>48</v>
      </c>
    </row>
    <row r="23" spans="2:28" s="7" customFormat="1" ht="12.75" customHeight="1" thickTop="1">
      <c r="B23" s="7">
        <v>1</v>
      </c>
      <c r="C23" s="10">
        <v>0.375</v>
      </c>
      <c r="D23" s="7">
        <v>1</v>
      </c>
      <c r="E23" s="7">
        <v>1</v>
      </c>
      <c r="F23" s="11" t="s">
        <v>28</v>
      </c>
      <c r="G23" s="7">
        <v>1</v>
      </c>
      <c r="H23" s="12" t="str">
        <f ca="1" t="shared" si="0" ref="H23:H62">INDIRECT(ADDRESS(MATCH(G23,$A$1:$A$20,0),MATCH(F23,$A$6:$AE$6,0)))</f>
        <v>TV Jahn Bad Lippspringe</v>
      </c>
      <c r="I23" s="13" t="s">
        <v>49</v>
      </c>
      <c r="J23" s="11" t="s">
        <v>28</v>
      </c>
      <c r="K23" s="7">
        <v>2</v>
      </c>
      <c r="L23" s="12" t="str">
        <f ca="1" t="shared" si="1" ref="L23:L62">INDIRECT(ADDRESS(MATCH(K23,$A$1:$A$20,0),MATCH(J23,$A$6:$AE$6,0)))</f>
        <v>TuS Grün-Weiß Wuppertal</v>
      </c>
      <c r="M23" s="11" t="s">
        <v>28</v>
      </c>
      <c r="N23" s="7">
        <v>3</v>
      </c>
      <c r="O23" s="12" t="str">
        <f ca="1" t="shared" si="2" ref="O23:O62">INDIRECT(ADDRESS(MATCH(N23,$A$1:$A$20,0),MATCH(M23,$A$6:$AE$6,0)))</f>
        <v>VfL Oker</v>
      </c>
      <c r="P23" s="14"/>
      <c r="R23" s="13" t="s">
        <v>50</v>
      </c>
      <c r="T23" s="15">
        <f aca="true" t="shared" si="3" ref="T23:T86">IF(Q23="","",IF(Q23&gt;S23,2,IF(Q23&lt;S23,0,1)))</f>
      </c>
      <c r="U23" s="13" t="s">
        <v>50</v>
      </c>
      <c r="V23" s="16">
        <f aca="true" t="shared" si="4" ref="V23:V86">IF(S23="","",IF(S23&gt;Q23,2,IF(S23&lt;Q23,0,1)))</f>
      </c>
      <c r="X23" s="13" t="s">
        <v>51</v>
      </c>
      <c r="Y23" s="13" t="s">
        <v>51</v>
      </c>
      <c r="AA23" s="7" t="s">
        <v>52</v>
      </c>
      <c r="AB23" s="7">
        <v>1</v>
      </c>
    </row>
    <row r="24" spans="4:28" s="7" customFormat="1" ht="12.75" customHeight="1">
      <c r="D24" s="7">
        <f aca="true" t="shared" si="5" ref="D24:D62">+D23+1</f>
        <v>2</v>
      </c>
      <c r="E24" s="7">
        <v>2</v>
      </c>
      <c r="F24" s="11" t="s">
        <v>28</v>
      </c>
      <c r="G24" s="7">
        <v>11</v>
      </c>
      <c r="H24" s="12" t="str">
        <f ca="1" t="shared" si="0"/>
        <v>Gadderbaumer TV</v>
      </c>
      <c r="I24" s="13" t="s">
        <v>49</v>
      </c>
      <c r="J24" s="11" t="s">
        <v>28</v>
      </c>
      <c r="K24" s="7">
        <v>12</v>
      </c>
      <c r="L24" s="12" t="str">
        <f ca="1" t="shared" si="1"/>
        <v>TV Frisch-Auf Altenbochum</v>
      </c>
      <c r="M24" s="11" t="s">
        <v>28</v>
      </c>
      <c r="N24" s="7">
        <v>13</v>
      </c>
      <c r="O24" s="12" t="str">
        <f ca="1" t="shared" si="2"/>
        <v>TSV Wuchzenhofen</v>
      </c>
      <c r="P24" s="14"/>
      <c r="R24" s="13" t="s">
        <v>50</v>
      </c>
      <c r="T24" s="15">
        <f t="shared" si="3"/>
      </c>
      <c r="U24" s="13" t="s">
        <v>50</v>
      </c>
      <c r="V24" s="16">
        <f t="shared" si="4"/>
      </c>
      <c r="X24" s="13" t="s">
        <v>51</v>
      </c>
      <c r="Y24" s="13" t="s">
        <v>51</v>
      </c>
      <c r="AA24" s="7" t="s">
        <v>52</v>
      </c>
      <c r="AB24" s="7">
        <v>1</v>
      </c>
    </row>
    <row r="25" spans="4:28" s="7" customFormat="1" ht="12.75" customHeight="1">
      <c r="D25" s="7">
        <f t="shared" si="5"/>
        <v>3</v>
      </c>
      <c r="E25" s="7">
        <v>3</v>
      </c>
      <c r="F25" s="11" t="s">
        <v>30</v>
      </c>
      <c r="G25" s="7">
        <v>1</v>
      </c>
      <c r="H25" s="12" t="str">
        <f ca="1" t="shared" si="0"/>
        <v>GSV Gundernhausen</v>
      </c>
      <c r="I25" s="13" t="s">
        <v>49</v>
      </c>
      <c r="J25" s="11" t="s">
        <v>30</v>
      </c>
      <c r="K25" s="7">
        <v>2</v>
      </c>
      <c r="L25" s="12" t="str">
        <f ca="1" t="shared" si="1"/>
        <v>TV Zeilhard</v>
      </c>
      <c r="M25" s="11" t="s">
        <v>30</v>
      </c>
      <c r="N25" s="7">
        <v>3</v>
      </c>
      <c r="O25" s="12" t="str">
        <f ca="1" t="shared" si="2"/>
        <v>TuS Aschen-Strang</v>
      </c>
      <c r="P25" s="14"/>
      <c r="R25" s="13" t="s">
        <v>50</v>
      </c>
      <c r="T25" s="15">
        <f t="shared" si="3"/>
      </c>
      <c r="U25" s="13" t="s">
        <v>50</v>
      </c>
      <c r="V25" s="16">
        <f t="shared" si="4"/>
      </c>
      <c r="X25" s="13" t="s">
        <v>51</v>
      </c>
      <c r="Y25" s="13" t="s">
        <v>51</v>
      </c>
      <c r="AA25" s="7" t="s">
        <v>52</v>
      </c>
      <c r="AB25" s="7">
        <v>2</v>
      </c>
    </row>
    <row r="26" spans="2:28" s="7" customFormat="1" ht="12.75" customHeight="1">
      <c r="B26" s="17"/>
      <c r="C26" s="17"/>
      <c r="D26" s="17">
        <f t="shared" si="5"/>
        <v>4</v>
      </c>
      <c r="E26" s="17">
        <v>4</v>
      </c>
      <c r="F26" s="18" t="s">
        <v>30</v>
      </c>
      <c r="G26" s="17">
        <v>11</v>
      </c>
      <c r="H26" s="19" t="str">
        <f ca="1" t="shared" si="0"/>
        <v>TV Frisch-Auf Altenbochum</v>
      </c>
      <c r="I26" s="20" t="s">
        <v>49</v>
      </c>
      <c r="J26" s="18" t="s">
        <v>30</v>
      </c>
      <c r="K26" s="17">
        <v>12</v>
      </c>
      <c r="L26" s="19" t="str">
        <f ca="1" t="shared" si="1"/>
        <v>TV Berkenbaum</v>
      </c>
      <c r="M26" s="18" t="s">
        <v>30</v>
      </c>
      <c r="N26" s="17">
        <v>13</v>
      </c>
      <c r="O26" s="19" t="str">
        <f ca="1" t="shared" si="2"/>
        <v>TSV Güglingen</v>
      </c>
      <c r="P26" s="21"/>
      <c r="Q26" s="17"/>
      <c r="R26" s="20" t="s">
        <v>50</v>
      </c>
      <c r="S26" s="17"/>
      <c r="T26" s="22">
        <f t="shared" si="3"/>
      </c>
      <c r="U26" s="20" t="s">
        <v>50</v>
      </c>
      <c r="V26" s="23">
        <f t="shared" si="4"/>
      </c>
      <c r="X26" s="20" t="s">
        <v>51</v>
      </c>
      <c r="Y26" s="20" t="s">
        <v>51</v>
      </c>
      <c r="AA26" s="7" t="s">
        <v>52</v>
      </c>
      <c r="AB26" s="7">
        <v>2</v>
      </c>
    </row>
    <row r="27" spans="2:28" ht="12.75">
      <c r="B27" s="7">
        <f>+B23+1</f>
        <v>2</v>
      </c>
      <c r="C27" s="10">
        <v>0.3923611111111111</v>
      </c>
      <c r="D27" s="7">
        <f t="shared" si="5"/>
        <v>5</v>
      </c>
      <c r="E27" s="7">
        <v>1</v>
      </c>
      <c r="F27" s="11" t="s">
        <v>28</v>
      </c>
      <c r="G27" s="7">
        <v>3</v>
      </c>
      <c r="H27" s="12" t="str">
        <f ca="1" t="shared" si="0"/>
        <v>VfL Oker</v>
      </c>
      <c r="I27" s="13" t="s">
        <v>49</v>
      </c>
      <c r="J27" s="11" t="s">
        <v>28</v>
      </c>
      <c r="K27" s="7">
        <v>4</v>
      </c>
      <c r="L27" s="12" t="str">
        <f ca="1" t="shared" si="1"/>
        <v>MTV Markoldendorf</v>
      </c>
      <c r="M27" s="11" t="s">
        <v>28</v>
      </c>
      <c r="N27" s="7">
        <v>5</v>
      </c>
      <c r="O27" s="12" t="str">
        <f ca="1" t="shared" si="2"/>
        <v>TV Walpershofen</v>
      </c>
      <c r="P27" s="14"/>
      <c r="Q27" s="7"/>
      <c r="R27" s="13" t="s">
        <v>50</v>
      </c>
      <c r="S27" s="7"/>
      <c r="T27" s="15">
        <f t="shared" si="3"/>
      </c>
      <c r="U27" s="13" t="s">
        <v>50</v>
      </c>
      <c r="V27" s="16">
        <f t="shared" si="4"/>
      </c>
      <c r="X27" s="13" t="s">
        <v>51</v>
      </c>
      <c r="Y27" s="13" t="s">
        <v>51</v>
      </c>
      <c r="AA27" s="7" t="s">
        <v>52</v>
      </c>
      <c r="AB27" s="4">
        <v>3</v>
      </c>
    </row>
    <row r="28" spans="2:28" ht="12.75">
      <c r="B28" s="7"/>
      <c r="C28" s="7"/>
      <c r="D28" s="7">
        <f t="shared" si="5"/>
        <v>6</v>
      </c>
      <c r="E28" s="7">
        <v>2</v>
      </c>
      <c r="F28" s="11" t="s">
        <v>28</v>
      </c>
      <c r="G28" s="7">
        <v>13</v>
      </c>
      <c r="H28" s="12" t="str">
        <f ca="1" t="shared" si="0"/>
        <v>TSV Wuchzenhofen</v>
      </c>
      <c r="I28" s="13" t="s">
        <v>49</v>
      </c>
      <c r="J28" s="11" t="s">
        <v>28</v>
      </c>
      <c r="K28" s="7">
        <v>14</v>
      </c>
      <c r="L28" s="12" t="str">
        <f ca="1" t="shared" si="1"/>
        <v>TV Freibug St. Georgen</v>
      </c>
      <c r="M28" s="11" t="s">
        <v>28</v>
      </c>
      <c r="N28" s="7">
        <v>15</v>
      </c>
      <c r="O28" s="12" t="str">
        <f ca="1" t="shared" si="2"/>
        <v>TSV Marienfelde</v>
      </c>
      <c r="P28" s="14"/>
      <c r="Q28" s="7"/>
      <c r="R28" s="13" t="s">
        <v>50</v>
      </c>
      <c r="S28" s="7"/>
      <c r="T28" s="15">
        <f t="shared" si="3"/>
      </c>
      <c r="U28" s="13" t="s">
        <v>50</v>
      </c>
      <c r="V28" s="16">
        <f t="shared" si="4"/>
      </c>
      <c r="X28" s="13" t="s">
        <v>51</v>
      </c>
      <c r="Y28" s="13" t="s">
        <v>51</v>
      </c>
      <c r="AA28" s="7" t="s">
        <v>52</v>
      </c>
      <c r="AB28" s="4">
        <v>3</v>
      </c>
    </row>
    <row r="29" spans="2:28" ht="12.75">
      <c r="B29" s="7"/>
      <c r="C29" s="7"/>
      <c r="D29" s="7">
        <f t="shared" si="5"/>
        <v>7</v>
      </c>
      <c r="E29" s="7">
        <v>3</v>
      </c>
      <c r="F29" s="11" t="s">
        <v>30</v>
      </c>
      <c r="G29" s="7">
        <v>3</v>
      </c>
      <c r="H29" s="12" t="str">
        <f ca="1" t="shared" si="0"/>
        <v>TuS Aschen-Strang</v>
      </c>
      <c r="I29" s="13" t="s">
        <v>49</v>
      </c>
      <c r="J29" s="11" t="s">
        <v>30</v>
      </c>
      <c r="K29" s="7">
        <v>4</v>
      </c>
      <c r="L29" s="12" t="str">
        <f ca="1" t="shared" si="1"/>
        <v>MTV Jahn Schladen</v>
      </c>
      <c r="M29" s="11" t="s">
        <v>30</v>
      </c>
      <c r="N29" s="7">
        <v>5</v>
      </c>
      <c r="O29" s="12" t="str">
        <f ca="1" t="shared" si="2"/>
        <v>TV Oberschopfheim</v>
      </c>
      <c r="P29" s="14"/>
      <c r="Q29" s="7"/>
      <c r="R29" s="13" t="s">
        <v>50</v>
      </c>
      <c r="S29" s="7"/>
      <c r="T29" s="15">
        <f t="shared" si="3"/>
      </c>
      <c r="U29" s="13" t="s">
        <v>50</v>
      </c>
      <c r="V29" s="16">
        <f t="shared" si="4"/>
      </c>
      <c r="X29" s="13" t="s">
        <v>51</v>
      </c>
      <c r="Y29" s="13" t="s">
        <v>51</v>
      </c>
      <c r="AA29" s="7" t="s">
        <v>52</v>
      </c>
      <c r="AB29" s="4">
        <v>4</v>
      </c>
    </row>
    <row r="30" spans="2:28" ht="12.75">
      <c r="B30" s="17"/>
      <c r="C30" s="17"/>
      <c r="D30" s="17">
        <f t="shared" si="5"/>
        <v>8</v>
      </c>
      <c r="E30" s="17">
        <v>4</v>
      </c>
      <c r="F30" s="18" t="s">
        <v>30</v>
      </c>
      <c r="G30" s="17">
        <v>13</v>
      </c>
      <c r="H30" s="19" t="str">
        <f ca="1" t="shared" si="0"/>
        <v>TSV Güglingen</v>
      </c>
      <c r="I30" s="20" t="s">
        <v>49</v>
      </c>
      <c r="J30" s="18" t="s">
        <v>30</v>
      </c>
      <c r="K30" s="17">
        <v>14</v>
      </c>
      <c r="L30" s="19" t="str">
        <f ca="1" t="shared" si="1"/>
        <v>VfL Waiblingen</v>
      </c>
      <c r="M30" s="18" t="s">
        <v>30</v>
      </c>
      <c r="N30" s="17">
        <v>15</v>
      </c>
      <c r="O30" s="19" t="str">
        <f ca="1" t="shared" si="2"/>
        <v>SG Aumund Vegesack</v>
      </c>
      <c r="P30" s="21"/>
      <c r="Q30" s="17"/>
      <c r="R30" s="20" t="s">
        <v>50</v>
      </c>
      <c r="S30" s="17"/>
      <c r="T30" s="22">
        <f t="shared" si="3"/>
      </c>
      <c r="U30" s="20" t="s">
        <v>50</v>
      </c>
      <c r="V30" s="23">
        <f t="shared" si="4"/>
      </c>
      <c r="X30" s="20" t="s">
        <v>51</v>
      </c>
      <c r="Y30" s="20" t="s">
        <v>51</v>
      </c>
      <c r="AA30" s="7" t="s">
        <v>52</v>
      </c>
      <c r="AB30" s="4">
        <v>4</v>
      </c>
    </row>
    <row r="31" spans="2:28" ht="12.75" customHeight="1">
      <c r="B31" s="7">
        <f>+B27+1</f>
        <v>3</v>
      </c>
      <c r="C31" s="10">
        <v>0.4097222222222222</v>
      </c>
      <c r="D31" s="7">
        <f t="shared" si="5"/>
        <v>9</v>
      </c>
      <c r="E31" s="7">
        <v>1</v>
      </c>
      <c r="F31" s="11" t="s">
        <v>28</v>
      </c>
      <c r="G31" s="7">
        <v>1</v>
      </c>
      <c r="H31" s="12" t="str">
        <f ca="1" t="shared" si="0"/>
        <v>TV Jahn Bad Lippspringe</v>
      </c>
      <c r="I31" s="13" t="s">
        <v>49</v>
      </c>
      <c r="J31" s="11" t="s">
        <v>28</v>
      </c>
      <c r="K31" s="7">
        <v>5</v>
      </c>
      <c r="L31" s="12" t="str">
        <f ca="1" t="shared" si="1"/>
        <v>TV Walpershofen</v>
      </c>
      <c r="M31" s="11" t="s">
        <v>28</v>
      </c>
      <c r="N31" s="7">
        <v>2</v>
      </c>
      <c r="O31" s="12" t="str">
        <f ca="1" t="shared" si="2"/>
        <v>TuS Grün-Weiß Wuppertal</v>
      </c>
      <c r="P31" s="14"/>
      <c r="Q31" s="7"/>
      <c r="R31" s="13" t="s">
        <v>50</v>
      </c>
      <c r="S31" s="7"/>
      <c r="T31" s="15">
        <f t="shared" si="3"/>
      </c>
      <c r="U31" s="13" t="s">
        <v>50</v>
      </c>
      <c r="V31" s="16">
        <f t="shared" si="4"/>
      </c>
      <c r="X31" s="13" t="s">
        <v>51</v>
      </c>
      <c r="Y31" s="13" t="s">
        <v>51</v>
      </c>
      <c r="AA31" s="7" t="s">
        <v>52</v>
      </c>
      <c r="AB31" s="4">
        <v>5</v>
      </c>
    </row>
    <row r="32" spans="2:28" ht="12.75">
      <c r="B32" s="7"/>
      <c r="C32" s="7"/>
      <c r="D32" s="7">
        <f t="shared" si="5"/>
        <v>10</v>
      </c>
      <c r="E32" s="7">
        <v>2</v>
      </c>
      <c r="F32" s="11" t="s">
        <v>28</v>
      </c>
      <c r="G32" s="7">
        <v>11</v>
      </c>
      <c r="H32" s="12" t="str">
        <f ca="1" t="shared" si="0"/>
        <v>Gadderbaumer TV</v>
      </c>
      <c r="I32" s="13" t="s">
        <v>49</v>
      </c>
      <c r="J32" s="11" t="s">
        <v>28</v>
      </c>
      <c r="K32" s="7">
        <v>15</v>
      </c>
      <c r="L32" s="12" t="str">
        <f ca="1" t="shared" si="1"/>
        <v>TSV Marienfelde</v>
      </c>
      <c r="M32" s="11" t="s">
        <v>28</v>
      </c>
      <c r="N32" s="7">
        <v>12</v>
      </c>
      <c r="O32" s="12" t="str">
        <f ca="1" t="shared" si="2"/>
        <v>TV Frisch-Auf Altenbochum</v>
      </c>
      <c r="P32" s="14"/>
      <c r="Q32" s="7"/>
      <c r="R32" s="13" t="s">
        <v>50</v>
      </c>
      <c r="S32" s="7"/>
      <c r="T32" s="15">
        <f t="shared" si="3"/>
      </c>
      <c r="U32" s="13" t="s">
        <v>50</v>
      </c>
      <c r="V32" s="16">
        <f t="shared" si="4"/>
      </c>
      <c r="X32" s="13" t="s">
        <v>51</v>
      </c>
      <c r="Y32" s="13" t="s">
        <v>51</v>
      </c>
      <c r="AA32" s="7" t="s">
        <v>52</v>
      </c>
      <c r="AB32" s="4">
        <v>5</v>
      </c>
    </row>
    <row r="33" spans="2:28" ht="12.75">
      <c r="B33" s="7"/>
      <c r="C33" s="7"/>
      <c r="D33" s="7">
        <f t="shared" si="5"/>
        <v>11</v>
      </c>
      <c r="E33" s="7">
        <v>3</v>
      </c>
      <c r="F33" s="11" t="s">
        <v>30</v>
      </c>
      <c r="G33" s="7">
        <v>1</v>
      </c>
      <c r="H33" s="12" t="str">
        <f ca="1" t="shared" si="0"/>
        <v>GSV Gundernhausen</v>
      </c>
      <c r="I33" s="13" t="s">
        <v>49</v>
      </c>
      <c r="J33" s="11" t="s">
        <v>30</v>
      </c>
      <c r="K33" s="7">
        <v>5</v>
      </c>
      <c r="L33" s="12" t="str">
        <f ca="1" t="shared" si="1"/>
        <v>TV Oberschopfheim</v>
      </c>
      <c r="M33" s="11" t="s">
        <v>30</v>
      </c>
      <c r="N33" s="7">
        <v>2</v>
      </c>
      <c r="O33" s="12" t="str">
        <f ca="1" t="shared" si="2"/>
        <v>TV Zeilhard</v>
      </c>
      <c r="P33" s="14"/>
      <c r="Q33" s="7"/>
      <c r="R33" s="13" t="s">
        <v>50</v>
      </c>
      <c r="S33" s="7"/>
      <c r="T33" s="15">
        <f t="shared" si="3"/>
      </c>
      <c r="U33" s="13" t="s">
        <v>50</v>
      </c>
      <c r="V33" s="16">
        <f t="shared" si="4"/>
      </c>
      <c r="X33" s="13" t="s">
        <v>51</v>
      </c>
      <c r="Y33" s="13" t="s">
        <v>51</v>
      </c>
      <c r="AA33" s="7" t="s">
        <v>52</v>
      </c>
      <c r="AB33" s="4">
        <v>6</v>
      </c>
    </row>
    <row r="34" spans="2:28" ht="12.75">
      <c r="B34" s="17"/>
      <c r="C34" s="17"/>
      <c r="D34" s="17">
        <f t="shared" si="5"/>
        <v>12</v>
      </c>
      <c r="E34" s="17">
        <v>4</v>
      </c>
      <c r="F34" s="18" t="s">
        <v>30</v>
      </c>
      <c r="G34" s="17">
        <v>11</v>
      </c>
      <c r="H34" s="19" t="str">
        <f ca="1" t="shared" si="0"/>
        <v>TV Frisch-Auf Altenbochum</v>
      </c>
      <c r="I34" s="20" t="s">
        <v>49</v>
      </c>
      <c r="J34" s="18" t="s">
        <v>30</v>
      </c>
      <c r="K34" s="17">
        <v>15</v>
      </c>
      <c r="L34" s="19" t="str">
        <f ca="1" t="shared" si="1"/>
        <v>SG Aumund Vegesack</v>
      </c>
      <c r="M34" s="18" t="s">
        <v>30</v>
      </c>
      <c r="N34" s="17">
        <v>12</v>
      </c>
      <c r="O34" s="19" t="str">
        <f ca="1" t="shared" si="2"/>
        <v>TV Berkenbaum</v>
      </c>
      <c r="P34" s="21"/>
      <c r="Q34" s="17"/>
      <c r="R34" s="20" t="s">
        <v>50</v>
      </c>
      <c r="S34" s="17"/>
      <c r="T34" s="22">
        <f t="shared" si="3"/>
      </c>
      <c r="U34" s="20" t="s">
        <v>50</v>
      </c>
      <c r="V34" s="23">
        <f t="shared" si="4"/>
      </c>
      <c r="X34" s="20" t="s">
        <v>51</v>
      </c>
      <c r="Y34" s="20" t="s">
        <v>51</v>
      </c>
      <c r="AA34" s="7" t="s">
        <v>52</v>
      </c>
      <c r="AB34" s="4">
        <v>6</v>
      </c>
    </row>
    <row r="35" spans="2:28" ht="12.75">
      <c r="B35" s="7">
        <f>+B31+1</f>
        <v>4</v>
      </c>
      <c r="C35" s="10">
        <v>0.4270833333333333</v>
      </c>
      <c r="D35" s="7">
        <f t="shared" si="5"/>
        <v>13</v>
      </c>
      <c r="E35" s="7">
        <v>1</v>
      </c>
      <c r="F35" s="11" t="s">
        <v>28</v>
      </c>
      <c r="G35" s="7">
        <v>2</v>
      </c>
      <c r="H35" s="12" t="str">
        <f ca="1" t="shared" si="0"/>
        <v>TuS Grün-Weiß Wuppertal</v>
      </c>
      <c r="I35" s="13" t="s">
        <v>49</v>
      </c>
      <c r="J35" s="11" t="s">
        <v>28</v>
      </c>
      <c r="K35" s="7">
        <v>3</v>
      </c>
      <c r="L35" s="12" t="str">
        <f ca="1" t="shared" si="1"/>
        <v>VfL Oker</v>
      </c>
      <c r="M35" s="11" t="s">
        <v>28</v>
      </c>
      <c r="N35" s="7">
        <v>4</v>
      </c>
      <c r="O35" s="12" t="str">
        <f ca="1" t="shared" si="2"/>
        <v>MTV Markoldendorf</v>
      </c>
      <c r="P35" s="14"/>
      <c r="Q35" s="7"/>
      <c r="R35" s="13" t="s">
        <v>50</v>
      </c>
      <c r="S35" s="7"/>
      <c r="T35" s="15">
        <f t="shared" si="3"/>
      </c>
      <c r="U35" s="13" t="s">
        <v>50</v>
      </c>
      <c r="V35" s="16">
        <f t="shared" si="4"/>
      </c>
      <c r="X35" s="13" t="s">
        <v>51</v>
      </c>
      <c r="Y35" s="13" t="s">
        <v>51</v>
      </c>
      <c r="AA35" s="7" t="s">
        <v>52</v>
      </c>
      <c r="AB35" s="4">
        <v>7</v>
      </c>
    </row>
    <row r="36" spans="2:28" ht="12.75">
      <c r="B36" s="7"/>
      <c r="C36" s="7"/>
      <c r="D36" s="7">
        <f t="shared" si="5"/>
        <v>14</v>
      </c>
      <c r="E36" s="7">
        <v>2</v>
      </c>
      <c r="F36" s="11" t="s">
        <v>28</v>
      </c>
      <c r="G36" s="7">
        <v>12</v>
      </c>
      <c r="H36" s="12" t="str">
        <f ca="1" t="shared" si="0"/>
        <v>TV Frisch-Auf Altenbochum</v>
      </c>
      <c r="I36" s="13" t="s">
        <v>49</v>
      </c>
      <c r="J36" s="11" t="s">
        <v>28</v>
      </c>
      <c r="K36" s="7">
        <v>13</v>
      </c>
      <c r="L36" s="12" t="str">
        <f ca="1" t="shared" si="1"/>
        <v>TSV Wuchzenhofen</v>
      </c>
      <c r="M36" s="11" t="s">
        <v>28</v>
      </c>
      <c r="N36" s="7">
        <v>14</v>
      </c>
      <c r="O36" s="12" t="str">
        <f ca="1" t="shared" si="2"/>
        <v>TV Freibug St. Georgen</v>
      </c>
      <c r="P36" s="14"/>
      <c r="Q36" s="7"/>
      <c r="R36" s="13" t="s">
        <v>50</v>
      </c>
      <c r="S36" s="7"/>
      <c r="T36" s="15">
        <f t="shared" si="3"/>
      </c>
      <c r="U36" s="13" t="s">
        <v>50</v>
      </c>
      <c r="V36" s="16">
        <f t="shared" si="4"/>
      </c>
      <c r="X36" s="13" t="s">
        <v>51</v>
      </c>
      <c r="Y36" s="13" t="s">
        <v>51</v>
      </c>
      <c r="AA36" s="7" t="s">
        <v>52</v>
      </c>
      <c r="AB36" s="4">
        <v>7</v>
      </c>
    </row>
    <row r="37" spans="2:28" ht="12.75">
      <c r="B37" s="7"/>
      <c r="C37" s="7"/>
      <c r="D37" s="7">
        <f t="shared" si="5"/>
        <v>15</v>
      </c>
      <c r="E37" s="7">
        <v>3</v>
      </c>
      <c r="F37" s="11" t="s">
        <v>30</v>
      </c>
      <c r="G37" s="7">
        <v>2</v>
      </c>
      <c r="H37" s="12" t="str">
        <f ca="1" t="shared" si="0"/>
        <v>TV Zeilhard</v>
      </c>
      <c r="I37" s="13" t="s">
        <v>49</v>
      </c>
      <c r="J37" s="11" t="s">
        <v>30</v>
      </c>
      <c r="K37" s="7">
        <v>3</v>
      </c>
      <c r="L37" s="12" t="str">
        <f ca="1" t="shared" si="1"/>
        <v>TuS Aschen-Strang</v>
      </c>
      <c r="M37" s="11" t="s">
        <v>30</v>
      </c>
      <c r="N37" s="7">
        <v>4</v>
      </c>
      <c r="O37" s="12" t="str">
        <f ca="1" t="shared" si="2"/>
        <v>MTV Jahn Schladen</v>
      </c>
      <c r="P37" s="14"/>
      <c r="Q37" s="7"/>
      <c r="R37" s="13" t="s">
        <v>50</v>
      </c>
      <c r="S37" s="7"/>
      <c r="T37" s="15">
        <f t="shared" si="3"/>
      </c>
      <c r="U37" s="13" t="s">
        <v>50</v>
      </c>
      <c r="V37" s="16">
        <f t="shared" si="4"/>
      </c>
      <c r="X37" s="13" t="s">
        <v>51</v>
      </c>
      <c r="Y37" s="13" t="s">
        <v>51</v>
      </c>
      <c r="AA37" s="7" t="s">
        <v>52</v>
      </c>
      <c r="AB37" s="4">
        <v>8</v>
      </c>
    </row>
    <row r="38" spans="2:28" ht="12.75">
      <c r="B38" s="17"/>
      <c r="C38" s="17"/>
      <c r="D38" s="17">
        <f t="shared" si="5"/>
        <v>16</v>
      </c>
      <c r="E38" s="17">
        <v>4</v>
      </c>
      <c r="F38" s="18" t="s">
        <v>30</v>
      </c>
      <c r="G38" s="17">
        <v>12</v>
      </c>
      <c r="H38" s="19" t="str">
        <f ca="1" t="shared" si="0"/>
        <v>TV Berkenbaum</v>
      </c>
      <c r="I38" s="20" t="s">
        <v>49</v>
      </c>
      <c r="J38" s="18" t="s">
        <v>30</v>
      </c>
      <c r="K38" s="17">
        <v>13</v>
      </c>
      <c r="L38" s="19" t="str">
        <f ca="1" t="shared" si="1"/>
        <v>TSV Güglingen</v>
      </c>
      <c r="M38" s="18" t="s">
        <v>30</v>
      </c>
      <c r="N38" s="17">
        <v>14</v>
      </c>
      <c r="O38" s="19" t="str">
        <f ca="1" t="shared" si="2"/>
        <v>VfL Waiblingen</v>
      </c>
      <c r="P38" s="21"/>
      <c r="Q38" s="17"/>
      <c r="R38" s="20" t="s">
        <v>50</v>
      </c>
      <c r="S38" s="17"/>
      <c r="T38" s="22">
        <f t="shared" si="3"/>
      </c>
      <c r="U38" s="20" t="s">
        <v>50</v>
      </c>
      <c r="V38" s="23">
        <f t="shared" si="4"/>
      </c>
      <c r="X38" s="20" t="s">
        <v>51</v>
      </c>
      <c r="Y38" s="20" t="s">
        <v>51</v>
      </c>
      <c r="AA38" s="7" t="s">
        <v>52</v>
      </c>
      <c r="AB38" s="4">
        <v>8</v>
      </c>
    </row>
    <row r="39" spans="2:28" ht="12.75">
      <c r="B39" s="7">
        <f>+B35+1</f>
        <v>5</v>
      </c>
      <c r="C39" s="10">
        <v>0.4444444444444444</v>
      </c>
      <c r="D39" s="7">
        <f t="shared" si="5"/>
        <v>17</v>
      </c>
      <c r="E39" s="7">
        <v>1</v>
      </c>
      <c r="F39" s="11" t="s">
        <v>28</v>
      </c>
      <c r="G39" s="7">
        <v>4</v>
      </c>
      <c r="H39" s="12" t="str">
        <f ca="1" t="shared" si="0"/>
        <v>MTV Markoldendorf</v>
      </c>
      <c r="I39" s="13" t="s">
        <v>49</v>
      </c>
      <c r="J39" s="11" t="s">
        <v>28</v>
      </c>
      <c r="K39" s="7">
        <v>5</v>
      </c>
      <c r="L39" s="12" t="str">
        <f ca="1" t="shared" si="1"/>
        <v>TV Walpershofen</v>
      </c>
      <c r="M39" s="11" t="s">
        <v>28</v>
      </c>
      <c r="N39" s="7">
        <v>1</v>
      </c>
      <c r="O39" s="12" t="str">
        <f ca="1" t="shared" si="2"/>
        <v>TV Jahn Bad Lippspringe</v>
      </c>
      <c r="P39" s="14"/>
      <c r="Q39" s="7"/>
      <c r="R39" s="13" t="s">
        <v>50</v>
      </c>
      <c r="S39" s="7"/>
      <c r="T39" s="15">
        <f t="shared" si="3"/>
      </c>
      <c r="U39" s="13" t="s">
        <v>50</v>
      </c>
      <c r="V39" s="16">
        <f t="shared" si="4"/>
      </c>
      <c r="X39" s="13" t="s">
        <v>51</v>
      </c>
      <c r="Y39" s="13" t="s">
        <v>51</v>
      </c>
      <c r="AA39" s="7" t="s">
        <v>52</v>
      </c>
      <c r="AB39" s="4">
        <v>9</v>
      </c>
    </row>
    <row r="40" spans="2:28" ht="12.75">
      <c r="B40" s="7"/>
      <c r="C40" s="7"/>
      <c r="D40" s="7">
        <f t="shared" si="5"/>
        <v>18</v>
      </c>
      <c r="E40" s="7">
        <v>2</v>
      </c>
      <c r="F40" s="11" t="s">
        <v>28</v>
      </c>
      <c r="G40" s="7">
        <v>14</v>
      </c>
      <c r="H40" s="12" t="str">
        <f ca="1" t="shared" si="0"/>
        <v>TV Freibug St. Georgen</v>
      </c>
      <c r="I40" s="13" t="s">
        <v>49</v>
      </c>
      <c r="J40" s="11" t="s">
        <v>28</v>
      </c>
      <c r="K40" s="7">
        <v>15</v>
      </c>
      <c r="L40" s="12" t="str">
        <f ca="1" t="shared" si="1"/>
        <v>TSV Marienfelde</v>
      </c>
      <c r="M40" s="11" t="s">
        <v>28</v>
      </c>
      <c r="N40" s="7">
        <v>11</v>
      </c>
      <c r="O40" s="12" t="str">
        <f ca="1" t="shared" si="2"/>
        <v>Gadderbaumer TV</v>
      </c>
      <c r="P40" s="14"/>
      <c r="Q40" s="7"/>
      <c r="R40" s="13" t="s">
        <v>50</v>
      </c>
      <c r="S40" s="7"/>
      <c r="T40" s="15">
        <f t="shared" si="3"/>
      </c>
      <c r="U40" s="13" t="s">
        <v>50</v>
      </c>
      <c r="V40" s="16">
        <f t="shared" si="4"/>
      </c>
      <c r="X40" s="13" t="s">
        <v>51</v>
      </c>
      <c r="Y40" s="13" t="s">
        <v>51</v>
      </c>
      <c r="AA40" s="7" t="s">
        <v>52</v>
      </c>
      <c r="AB40" s="4">
        <v>9</v>
      </c>
    </row>
    <row r="41" spans="2:28" ht="12.75">
      <c r="B41" s="7"/>
      <c r="C41" s="7"/>
      <c r="D41" s="7">
        <f t="shared" si="5"/>
        <v>19</v>
      </c>
      <c r="E41" s="7">
        <v>3</v>
      </c>
      <c r="F41" s="11" t="s">
        <v>30</v>
      </c>
      <c r="G41" s="7">
        <v>4</v>
      </c>
      <c r="H41" s="12" t="str">
        <f ca="1" t="shared" si="0"/>
        <v>MTV Jahn Schladen</v>
      </c>
      <c r="I41" s="13" t="s">
        <v>49</v>
      </c>
      <c r="J41" s="11" t="s">
        <v>30</v>
      </c>
      <c r="K41" s="7">
        <v>5</v>
      </c>
      <c r="L41" s="12" t="str">
        <f ca="1" t="shared" si="1"/>
        <v>TV Oberschopfheim</v>
      </c>
      <c r="M41" s="11" t="s">
        <v>30</v>
      </c>
      <c r="N41" s="7">
        <v>1</v>
      </c>
      <c r="O41" s="12" t="str">
        <f ca="1" t="shared" si="2"/>
        <v>GSV Gundernhausen</v>
      </c>
      <c r="P41" s="14"/>
      <c r="Q41" s="7"/>
      <c r="R41" s="13" t="s">
        <v>50</v>
      </c>
      <c r="S41" s="7"/>
      <c r="T41" s="15">
        <f t="shared" si="3"/>
      </c>
      <c r="U41" s="13" t="s">
        <v>50</v>
      </c>
      <c r="V41" s="16">
        <f t="shared" si="4"/>
      </c>
      <c r="X41" s="13" t="s">
        <v>51</v>
      </c>
      <c r="Y41" s="13" t="s">
        <v>51</v>
      </c>
      <c r="AA41" s="7" t="s">
        <v>52</v>
      </c>
      <c r="AB41" s="4">
        <v>10</v>
      </c>
    </row>
    <row r="42" spans="2:28" ht="12.75">
      <c r="B42" s="17"/>
      <c r="C42" s="17"/>
      <c r="D42" s="17">
        <f t="shared" si="5"/>
        <v>20</v>
      </c>
      <c r="E42" s="17">
        <v>4</v>
      </c>
      <c r="F42" s="18" t="s">
        <v>30</v>
      </c>
      <c r="G42" s="17">
        <v>14</v>
      </c>
      <c r="H42" s="19" t="str">
        <f ca="1" t="shared" si="0"/>
        <v>VfL Waiblingen</v>
      </c>
      <c r="I42" s="20" t="s">
        <v>49</v>
      </c>
      <c r="J42" s="18" t="s">
        <v>30</v>
      </c>
      <c r="K42" s="17">
        <v>15</v>
      </c>
      <c r="L42" s="19" t="str">
        <f ca="1" t="shared" si="1"/>
        <v>SG Aumund Vegesack</v>
      </c>
      <c r="M42" s="18" t="s">
        <v>30</v>
      </c>
      <c r="N42" s="17">
        <v>11</v>
      </c>
      <c r="O42" s="19" t="str">
        <f ca="1" t="shared" si="2"/>
        <v>TV Frisch-Auf Altenbochum</v>
      </c>
      <c r="P42" s="21"/>
      <c r="Q42" s="17"/>
      <c r="R42" s="20" t="s">
        <v>50</v>
      </c>
      <c r="S42" s="17"/>
      <c r="T42" s="22">
        <f t="shared" si="3"/>
      </c>
      <c r="U42" s="20" t="s">
        <v>50</v>
      </c>
      <c r="V42" s="23">
        <f t="shared" si="4"/>
      </c>
      <c r="X42" s="20" t="s">
        <v>51</v>
      </c>
      <c r="Y42" s="20" t="s">
        <v>51</v>
      </c>
      <c r="AA42" s="7" t="s">
        <v>52</v>
      </c>
      <c r="AB42" s="4">
        <v>10</v>
      </c>
    </row>
    <row r="43" spans="2:28" ht="12.75">
      <c r="B43" s="7">
        <f>+B39+1</f>
        <v>6</v>
      </c>
      <c r="C43" s="10">
        <v>0.4618055555555555</v>
      </c>
      <c r="D43" s="7">
        <f t="shared" si="5"/>
        <v>21</v>
      </c>
      <c r="E43" s="7">
        <v>1</v>
      </c>
      <c r="F43" s="11" t="s">
        <v>28</v>
      </c>
      <c r="G43" s="7">
        <v>1</v>
      </c>
      <c r="H43" s="12" t="str">
        <f ca="1" t="shared" si="0"/>
        <v>TV Jahn Bad Lippspringe</v>
      </c>
      <c r="I43" s="13" t="s">
        <v>49</v>
      </c>
      <c r="J43" s="11" t="s">
        <v>28</v>
      </c>
      <c r="K43" s="7">
        <v>3</v>
      </c>
      <c r="L43" s="12" t="str">
        <f ca="1" t="shared" si="1"/>
        <v>VfL Oker</v>
      </c>
      <c r="M43" s="11" t="s">
        <v>28</v>
      </c>
      <c r="N43" s="7">
        <v>2</v>
      </c>
      <c r="O43" s="12" t="str">
        <f ca="1" t="shared" si="2"/>
        <v>TuS Grün-Weiß Wuppertal</v>
      </c>
      <c r="P43" s="14"/>
      <c r="Q43" s="7"/>
      <c r="R43" s="13" t="s">
        <v>50</v>
      </c>
      <c r="S43" s="7"/>
      <c r="T43" s="15">
        <f t="shared" si="3"/>
      </c>
      <c r="U43" s="13" t="s">
        <v>50</v>
      </c>
      <c r="V43" s="16">
        <f t="shared" si="4"/>
      </c>
      <c r="X43" s="13" t="s">
        <v>51</v>
      </c>
      <c r="Y43" s="13" t="s">
        <v>51</v>
      </c>
      <c r="AA43" s="7" t="s">
        <v>52</v>
      </c>
      <c r="AB43" s="4">
        <v>11</v>
      </c>
    </row>
    <row r="44" spans="2:28" ht="12.75">
      <c r="B44" s="7"/>
      <c r="C44" s="7"/>
      <c r="D44" s="7">
        <f t="shared" si="5"/>
        <v>22</v>
      </c>
      <c r="E44" s="7">
        <v>2</v>
      </c>
      <c r="F44" s="11" t="s">
        <v>28</v>
      </c>
      <c r="G44" s="7">
        <v>11</v>
      </c>
      <c r="H44" s="12" t="str">
        <f ca="1" t="shared" si="0"/>
        <v>Gadderbaumer TV</v>
      </c>
      <c r="I44" s="13" t="s">
        <v>49</v>
      </c>
      <c r="J44" s="11" t="s">
        <v>28</v>
      </c>
      <c r="K44" s="7">
        <v>13</v>
      </c>
      <c r="L44" s="12" t="str">
        <f ca="1" t="shared" si="1"/>
        <v>TSV Wuchzenhofen</v>
      </c>
      <c r="M44" s="11" t="s">
        <v>28</v>
      </c>
      <c r="N44" s="7">
        <v>12</v>
      </c>
      <c r="O44" s="12" t="str">
        <f ca="1" t="shared" si="2"/>
        <v>TV Frisch-Auf Altenbochum</v>
      </c>
      <c r="P44" s="14"/>
      <c r="Q44" s="7"/>
      <c r="R44" s="13" t="s">
        <v>50</v>
      </c>
      <c r="S44" s="7"/>
      <c r="T44" s="15">
        <f t="shared" si="3"/>
      </c>
      <c r="U44" s="13" t="s">
        <v>50</v>
      </c>
      <c r="V44" s="16">
        <f t="shared" si="4"/>
      </c>
      <c r="X44" s="13" t="s">
        <v>51</v>
      </c>
      <c r="Y44" s="13" t="s">
        <v>51</v>
      </c>
      <c r="AA44" s="7" t="s">
        <v>52</v>
      </c>
      <c r="AB44" s="4">
        <v>11</v>
      </c>
    </row>
    <row r="45" spans="2:28" ht="12.75">
      <c r="B45" s="7"/>
      <c r="C45" s="7"/>
      <c r="D45" s="7">
        <f t="shared" si="5"/>
        <v>23</v>
      </c>
      <c r="E45" s="7">
        <v>3</v>
      </c>
      <c r="F45" s="11" t="s">
        <v>30</v>
      </c>
      <c r="G45" s="7">
        <v>1</v>
      </c>
      <c r="H45" s="12" t="str">
        <f ca="1" t="shared" si="0"/>
        <v>GSV Gundernhausen</v>
      </c>
      <c r="I45" s="13" t="s">
        <v>49</v>
      </c>
      <c r="J45" s="11" t="s">
        <v>30</v>
      </c>
      <c r="K45" s="7">
        <v>3</v>
      </c>
      <c r="L45" s="12" t="str">
        <f ca="1" t="shared" si="1"/>
        <v>TuS Aschen-Strang</v>
      </c>
      <c r="M45" s="11" t="s">
        <v>30</v>
      </c>
      <c r="N45" s="7">
        <v>2</v>
      </c>
      <c r="O45" s="12" t="str">
        <f ca="1" t="shared" si="2"/>
        <v>TV Zeilhard</v>
      </c>
      <c r="P45" s="14"/>
      <c r="Q45" s="7"/>
      <c r="R45" s="13" t="s">
        <v>50</v>
      </c>
      <c r="S45" s="7"/>
      <c r="T45" s="15">
        <f t="shared" si="3"/>
      </c>
      <c r="U45" s="13" t="s">
        <v>50</v>
      </c>
      <c r="V45" s="16">
        <f t="shared" si="4"/>
      </c>
      <c r="X45" s="13" t="s">
        <v>51</v>
      </c>
      <c r="Y45" s="13" t="s">
        <v>51</v>
      </c>
      <c r="AA45" s="7" t="s">
        <v>52</v>
      </c>
      <c r="AB45" s="4">
        <v>12</v>
      </c>
    </row>
    <row r="46" spans="2:28" ht="12.75">
      <c r="B46" s="17"/>
      <c r="C46" s="17"/>
      <c r="D46" s="17">
        <f t="shared" si="5"/>
        <v>24</v>
      </c>
      <c r="E46" s="17">
        <v>4</v>
      </c>
      <c r="F46" s="18" t="s">
        <v>30</v>
      </c>
      <c r="G46" s="17">
        <v>11</v>
      </c>
      <c r="H46" s="19" t="str">
        <f ca="1" t="shared" si="0"/>
        <v>TV Frisch-Auf Altenbochum</v>
      </c>
      <c r="I46" s="20" t="s">
        <v>49</v>
      </c>
      <c r="J46" s="18" t="s">
        <v>30</v>
      </c>
      <c r="K46" s="17">
        <v>13</v>
      </c>
      <c r="L46" s="19" t="str">
        <f ca="1" t="shared" si="1"/>
        <v>TSV Güglingen</v>
      </c>
      <c r="M46" s="18" t="s">
        <v>30</v>
      </c>
      <c r="N46" s="17">
        <v>12</v>
      </c>
      <c r="O46" s="19" t="str">
        <f ca="1" t="shared" si="2"/>
        <v>TV Berkenbaum</v>
      </c>
      <c r="P46" s="21"/>
      <c r="Q46" s="17"/>
      <c r="R46" s="20" t="s">
        <v>50</v>
      </c>
      <c r="S46" s="17"/>
      <c r="T46" s="22">
        <f t="shared" si="3"/>
      </c>
      <c r="U46" s="20" t="s">
        <v>50</v>
      </c>
      <c r="V46" s="23">
        <f t="shared" si="4"/>
      </c>
      <c r="X46" s="20" t="s">
        <v>51</v>
      </c>
      <c r="Y46" s="20" t="s">
        <v>51</v>
      </c>
      <c r="AA46" s="7" t="s">
        <v>52</v>
      </c>
      <c r="AB46" s="4">
        <v>12</v>
      </c>
    </row>
    <row r="47" spans="2:28" ht="12.75">
      <c r="B47" s="7">
        <f>+B43+1</f>
        <v>7</v>
      </c>
      <c r="C47" s="10">
        <v>0.47916666666666663</v>
      </c>
      <c r="D47" s="7">
        <f t="shared" si="5"/>
        <v>25</v>
      </c>
      <c r="E47" s="7">
        <v>1</v>
      </c>
      <c r="F47" s="11" t="s">
        <v>28</v>
      </c>
      <c r="G47" s="7">
        <v>2</v>
      </c>
      <c r="H47" s="12" t="str">
        <f ca="1" t="shared" si="0"/>
        <v>TuS Grün-Weiß Wuppertal</v>
      </c>
      <c r="I47" s="13" t="s">
        <v>49</v>
      </c>
      <c r="J47" s="11" t="s">
        <v>28</v>
      </c>
      <c r="K47" s="7">
        <v>4</v>
      </c>
      <c r="L47" s="12" t="str">
        <f ca="1" t="shared" si="1"/>
        <v>MTV Markoldendorf</v>
      </c>
      <c r="M47" s="11" t="s">
        <v>28</v>
      </c>
      <c r="N47" s="7">
        <v>5</v>
      </c>
      <c r="O47" s="12" t="str">
        <f ca="1" t="shared" si="2"/>
        <v>TV Walpershofen</v>
      </c>
      <c r="P47" s="14"/>
      <c r="Q47" s="7"/>
      <c r="R47" s="13" t="s">
        <v>50</v>
      </c>
      <c r="S47" s="7"/>
      <c r="T47" s="15">
        <f t="shared" si="3"/>
      </c>
      <c r="U47" s="13" t="s">
        <v>50</v>
      </c>
      <c r="V47" s="16">
        <f t="shared" si="4"/>
      </c>
      <c r="X47" s="13" t="s">
        <v>51</v>
      </c>
      <c r="Y47" s="13" t="s">
        <v>51</v>
      </c>
      <c r="AA47" s="7" t="s">
        <v>52</v>
      </c>
      <c r="AB47" s="4">
        <v>13</v>
      </c>
    </row>
    <row r="48" spans="2:28" ht="12.75">
      <c r="B48" s="7"/>
      <c r="C48" s="7"/>
      <c r="D48" s="7">
        <f t="shared" si="5"/>
        <v>26</v>
      </c>
      <c r="E48" s="7">
        <v>2</v>
      </c>
      <c r="F48" s="11" t="s">
        <v>28</v>
      </c>
      <c r="G48" s="7">
        <v>12</v>
      </c>
      <c r="H48" s="12" t="str">
        <f ca="1" t="shared" si="0"/>
        <v>TV Frisch-Auf Altenbochum</v>
      </c>
      <c r="I48" s="13" t="s">
        <v>49</v>
      </c>
      <c r="J48" s="11" t="s">
        <v>28</v>
      </c>
      <c r="K48" s="7">
        <v>14</v>
      </c>
      <c r="L48" s="12" t="str">
        <f ca="1" t="shared" si="1"/>
        <v>TV Freibug St. Georgen</v>
      </c>
      <c r="M48" s="11" t="s">
        <v>28</v>
      </c>
      <c r="N48" s="7">
        <v>15</v>
      </c>
      <c r="O48" s="12" t="str">
        <f ca="1" t="shared" si="2"/>
        <v>TSV Marienfelde</v>
      </c>
      <c r="P48" s="14"/>
      <c r="Q48" s="7"/>
      <c r="R48" s="13" t="s">
        <v>50</v>
      </c>
      <c r="S48" s="7"/>
      <c r="T48" s="15">
        <f t="shared" si="3"/>
      </c>
      <c r="U48" s="13" t="s">
        <v>50</v>
      </c>
      <c r="V48" s="16">
        <f t="shared" si="4"/>
      </c>
      <c r="X48" s="13" t="s">
        <v>51</v>
      </c>
      <c r="Y48" s="13" t="s">
        <v>51</v>
      </c>
      <c r="AA48" s="7" t="s">
        <v>52</v>
      </c>
      <c r="AB48" s="4">
        <v>13</v>
      </c>
    </row>
    <row r="49" spans="2:28" ht="12.75">
      <c r="B49" s="7"/>
      <c r="C49" s="7"/>
      <c r="D49" s="7">
        <f t="shared" si="5"/>
        <v>27</v>
      </c>
      <c r="E49" s="7">
        <v>3</v>
      </c>
      <c r="F49" s="11" t="s">
        <v>30</v>
      </c>
      <c r="G49" s="7">
        <v>2</v>
      </c>
      <c r="H49" s="12" t="str">
        <f ca="1" t="shared" si="0"/>
        <v>TV Zeilhard</v>
      </c>
      <c r="I49" s="13" t="s">
        <v>49</v>
      </c>
      <c r="J49" s="11" t="s">
        <v>30</v>
      </c>
      <c r="K49" s="7">
        <v>4</v>
      </c>
      <c r="L49" s="12" t="str">
        <f ca="1" t="shared" si="1"/>
        <v>MTV Jahn Schladen</v>
      </c>
      <c r="M49" s="11" t="s">
        <v>30</v>
      </c>
      <c r="N49" s="7">
        <v>5</v>
      </c>
      <c r="O49" s="12" t="str">
        <f ca="1" t="shared" si="2"/>
        <v>TV Oberschopfheim</v>
      </c>
      <c r="P49" s="14"/>
      <c r="Q49" s="7"/>
      <c r="R49" s="13" t="s">
        <v>50</v>
      </c>
      <c r="S49" s="7"/>
      <c r="T49" s="15">
        <f t="shared" si="3"/>
      </c>
      <c r="U49" s="13" t="s">
        <v>50</v>
      </c>
      <c r="V49" s="16">
        <f t="shared" si="4"/>
      </c>
      <c r="X49" s="13" t="s">
        <v>51</v>
      </c>
      <c r="Y49" s="13" t="s">
        <v>51</v>
      </c>
      <c r="AA49" s="7" t="s">
        <v>52</v>
      </c>
      <c r="AB49" s="4">
        <v>14</v>
      </c>
    </row>
    <row r="50" spans="2:28" ht="12.75">
      <c r="B50" s="17"/>
      <c r="C50" s="17"/>
      <c r="D50" s="17">
        <f t="shared" si="5"/>
        <v>28</v>
      </c>
      <c r="E50" s="17">
        <v>4</v>
      </c>
      <c r="F50" s="18" t="s">
        <v>30</v>
      </c>
      <c r="G50" s="17">
        <v>12</v>
      </c>
      <c r="H50" s="19" t="str">
        <f ca="1" t="shared" si="0"/>
        <v>TV Berkenbaum</v>
      </c>
      <c r="I50" s="20" t="s">
        <v>49</v>
      </c>
      <c r="J50" s="18" t="s">
        <v>30</v>
      </c>
      <c r="K50" s="17">
        <v>14</v>
      </c>
      <c r="L50" s="19" t="str">
        <f ca="1" t="shared" si="1"/>
        <v>VfL Waiblingen</v>
      </c>
      <c r="M50" s="18" t="s">
        <v>30</v>
      </c>
      <c r="N50" s="17">
        <v>15</v>
      </c>
      <c r="O50" s="19" t="str">
        <f ca="1" t="shared" si="2"/>
        <v>SG Aumund Vegesack</v>
      </c>
      <c r="P50" s="21"/>
      <c r="Q50" s="17"/>
      <c r="R50" s="20" t="s">
        <v>50</v>
      </c>
      <c r="S50" s="17"/>
      <c r="T50" s="22">
        <f t="shared" si="3"/>
      </c>
      <c r="U50" s="20" t="s">
        <v>50</v>
      </c>
      <c r="V50" s="23">
        <f t="shared" si="4"/>
      </c>
      <c r="X50" s="20" t="s">
        <v>51</v>
      </c>
      <c r="Y50" s="20" t="s">
        <v>51</v>
      </c>
      <c r="AA50" s="7" t="s">
        <v>52</v>
      </c>
      <c r="AB50" s="4">
        <v>14</v>
      </c>
    </row>
    <row r="51" spans="2:28" ht="12.75">
      <c r="B51" s="7">
        <f>+B47+1</f>
        <v>8</v>
      </c>
      <c r="C51" s="10">
        <v>0.49652777777777773</v>
      </c>
      <c r="D51" s="7">
        <f t="shared" si="5"/>
        <v>29</v>
      </c>
      <c r="E51" s="7">
        <v>1</v>
      </c>
      <c r="F51" s="11" t="s">
        <v>28</v>
      </c>
      <c r="G51" s="7">
        <v>3</v>
      </c>
      <c r="H51" s="12" t="str">
        <f ca="1" t="shared" si="0"/>
        <v>VfL Oker</v>
      </c>
      <c r="I51" s="13" t="s">
        <v>49</v>
      </c>
      <c r="J51" s="11" t="s">
        <v>28</v>
      </c>
      <c r="K51" s="7">
        <v>5</v>
      </c>
      <c r="L51" s="12" t="str">
        <f ca="1" t="shared" si="1"/>
        <v>TV Walpershofen</v>
      </c>
      <c r="M51" s="11" t="s">
        <v>28</v>
      </c>
      <c r="N51" s="7">
        <v>1</v>
      </c>
      <c r="O51" s="12" t="str">
        <f ca="1" t="shared" si="2"/>
        <v>TV Jahn Bad Lippspringe</v>
      </c>
      <c r="P51" s="14"/>
      <c r="Q51" s="7"/>
      <c r="R51" s="13" t="s">
        <v>50</v>
      </c>
      <c r="S51" s="7"/>
      <c r="T51" s="15">
        <f t="shared" si="3"/>
      </c>
      <c r="U51" s="13" t="s">
        <v>50</v>
      </c>
      <c r="V51" s="16">
        <f t="shared" si="4"/>
      </c>
      <c r="X51" s="13" t="s">
        <v>51</v>
      </c>
      <c r="Y51" s="13" t="s">
        <v>51</v>
      </c>
      <c r="AA51" s="7" t="s">
        <v>52</v>
      </c>
      <c r="AB51" s="4">
        <v>15</v>
      </c>
    </row>
    <row r="52" spans="2:28" ht="12.75">
      <c r="B52" s="7"/>
      <c r="C52" s="7"/>
      <c r="D52" s="7">
        <f t="shared" si="5"/>
        <v>30</v>
      </c>
      <c r="E52" s="7">
        <v>2</v>
      </c>
      <c r="F52" s="11" t="s">
        <v>28</v>
      </c>
      <c r="G52" s="7">
        <v>13</v>
      </c>
      <c r="H52" s="12" t="str">
        <f ca="1" t="shared" si="0"/>
        <v>TSV Wuchzenhofen</v>
      </c>
      <c r="I52" s="13" t="s">
        <v>49</v>
      </c>
      <c r="J52" s="11" t="s">
        <v>28</v>
      </c>
      <c r="K52" s="7">
        <v>15</v>
      </c>
      <c r="L52" s="12" t="str">
        <f ca="1" t="shared" si="1"/>
        <v>TSV Marienfelde</v>
      </c>
      <c r="M52" s="11" t="s">
        <v>28</v>
      </c>
      <c r="N52" s="7">
        <v>11</v>
      </c>
      <c r="O52" s="12" t="str">
        <f ca="1" t="shared" si="2"/>
        <v>Gadderbaumer TV</v>
      </c>
      <c r="P52" s="14"/>
      <c r="Q52" s="7"/>
      <c r="R52" s="13" t="s">
        <v>50</v>
      </c>
      <c r="S52" s="7"/>
      <c r="T52" s="15">
        <f t="shared" si="3"/>
      </c>
      <c r="U52" s="13" t="s">
        <v>50</v>
      </c>
      <c r="V52" s="16">
        <f t="shared" si="4"/>
      </c>
      <c r="X52" s="13" t="s">
        <v>51</v>
      </c>
      <c r="Y52" s="13" t="s">
        <v>51</v>
      </c>
      <c r="AA52" s="7" t="s">
        <v>52</v>
      </c>
      <c r="AB52" s="4">
        <v>15</v>
      </c>
    </row>
    <row r="53" spans="2:28" ht="12.75">
      <c r="B53" s="7"/>
      <c r="C53" s="7"/>
      <c r="D53" s="7">
        <f t="shared" si="5"/>
        <v>31</v>
      </c>
      <c r="E53" s="7">
        <v>3</v>
      </c>
      <c r="F53" s="11" t="s">
        <v>30</v>
      </c>
      <c r="G53" s="7">
        <v>3</v>
      </c>
      <c r="H53" s="12" t="str">
        <f ca="1" t="shared" si="0"/>
        <v>TuS Aschen-Strang</v>
      </c>
      <c r="I53" s="13" t="s">
        <v>49</v>
      </c>
      <c r="J53" s="11" t="s">
        <v>30</v>
      </c>
      <c r="K53" s="7">
        <v>5</v>
      </c>
      <c r="L53" s="12" t="str">
        <f ca="1" t="shared" si="1"/>
        <v>TV Oberschopfheim</v>
      </c>
      <c r="M53" s="11" t="s">
        <v>30</v>
      </c>
      <c r="N53" s="7">
        <v>1</v>
      </c>
      <c r="O53" s="12" t="str">
        <f ca="1" t="shared" si="2"/>
        <v>GSV Gundernhausen</v>
      </c>
      <c r="P53" s="14"/>
      <c r="Q53" s="7"/>
      <c r="R53" s="13" t="s">
        <v>50</v>
      </c>
      <c r="S53" s="7"/>
      <c r="T53" s="15">
        <f t="shared" si="3"/>
      </c>
      <c r="U53" s="13" t="s">
        <v>50</v>
      </c>
      <c r="V53" s="16">
        <f t="shared" si="4"/>
      </c>
      <c r="X53" s="13" t="s">
        <v>51</v>
      </c>
      <c r="Y53" s="13" t="s">
        <v>51</v>
      </c>
      <c r="AA53" s="7" t="s">
        <v>52</v>
      </c>
      <c r="AB53" s="4">
        <v>16</v>
      </c>
    </row>
    <row r="54" spans="2:28" ht="12.75">
      <c r="B54" s="17"/>
      <c r="C54" s="17"/>
      <c r="D54" s="17">
        <f t="shared" si="5"/>
        <v>32</v>
      </c>
      <c r="E54" s="17">
        <v>4</v>
      </c>
      <c r="F54" s="18" t="s">
        <v>30</v>
      </c>
      <c r="G54" s="17">
        <v>13</v>
      </c>
      <c r="H54" s="19" t="str">
        <f ca="1" t="shared" si="0"/>
        <v>TSV Güglingen</v>
      </c>
      <c r="I54" s="20" t="s">
        <v>49</v>
      </c>
      <c r="J54" s="18" t="s">
        <v>30</v>
      </c>
      <c r="K54" s="17">
        <v>15</v>
      </c>
      <c r="L54" s="19" t="str">
        <f ca="1" t="shared" si="1"/>
        <v>SG Aumund Vegesack</v>
      </c>
      <c r="M54" s="18" t="s">
        <v>30</v>
      </c>
      <c r="N54" s="17">
        <v>11</v>
      </c>
      <c r="O54" s="19" t="str">
        <f ca="1" t="shared" si="2"/>
        <v>TV Frisch-Auf Altenbochum</v>
      </c>
      <c r="P54" s="21"/>
      <c r="Q54" s="17"/>
      <c r="R54" s="20" t="s">
        <v>50</v>
      </c>
      <c r="S54" s="17"/>
      <c r="T54" s="22">
        <f t="shared" si="3"/>
      </c>
      <c r="U54" s="20" t="s">
        <v>50</v>
      </c>
      <c r="V54" s="23">
        <f t="shared" si="4"/>
      </c>
      <c r="X54" s="20" t="s">
        <v>51</v>
      </c>
      <c r="Y54" s="20" t="s">
        <v>51</v>
      </c>
      <c r="AA54" s="7" t="s">
        <v>52</v>
      </c>
      <c r="AB54" s="4">
        <v>16</v>
      </c>
    </row>
    <row r="55" spans="2:28" ht="12.75">
      <c r="B55" s="7">
        <f>+B51+1</f>
        <v>9</v>
      </c>
      <c r="C55" s="10">
        <v>0.5138888888888888</v>
      </c>
      <c r="D55" s="7">
        <f t="shared" si="5"/>
        <v>33</v>
      </c>
      <c r="E55" s="7">
        <v>1</v>
      </c>
      <c r="F55" s="11" t="s">
        <v>28</v>
      </c>
      <c r="G55" s="7">
        <v>1</v>
      </c>
      <c r="H55" s="12" t="str">
        <f ca="1" t="shared" si="0"/>
        <v>TV Jahn Bad Lippspringe</v>
      </c>
      <c r="I55" s="13" t="s">
        <v>49</v>
      </c>
      <c r="J55" s="11" t="s">
        <v>28</v>
      </c>
      <c r="K55" s="7">
        <v>4</v>
      </c>
      <c r="L55" s="12" t="str">
        <f ca="1" t="shared" si="1"/>
        <v>MTV Markoldendorf</v>
      </c>
      <c r="M55" s="11" t="s">
        <v>28</v>
      </c>
      <c r="N55" s="7">
        <v>3</v>
      </c>
      <c r="O55" s="12" t="str">
        <f ca="1" t="shared" si="2"/>
        <v>VfL Oker</v>
      </c>
      <c r="P55" s="14"/>
      <c r="Q55" s="7"/>
      <c r="R55" s="13" t="s">
        <v>50</v>
      </c>
      <c r="S55" s="7"/>
      <c r="T55" s="15">
        <f t="shared" si="3"/>
      </c>
      <c r="U55" s="13" t="s">
        <v>50</v>
      </c>
      <c r="V55" s="16">
        <f t="shared" si="4"/>
      </c>
      <c r="X55" s="13" t="s">
        <v>51</v>
      </c>
      <c r="Y55" s="13" t="s">
        <v>51</v>
      </c>
      <c r="AA55" s="7" t="s">
        <v>52</v>
      </c>
      <c r="AB55" s="4">
        <v>17</v>
      </c>
    </row>
    <row r="56" spans="2:28" ht="12.75">
      <c r="B56" s="7"/>
      <c r="C56" s="7"/>
      <c r="D56" s="7">
        <f t="shared" si="5"/>
        <v>34</v>
      </c>
      <c r="E56" s="7">
        <v>2</v>
      </c>
      <c r="F56" s="11" t="s">
        <v>28</v>
      </c>
      <c r="G56" s="7">
        <v>11</v>
      </c>
      <c r="H56" s="12" t="str">
        <f ca="1" t="shared" si="0"/>
        <v>Gadderbaumer TV</v>
      </c>
      <c r="I56" s="13" t="s">
        <v>49</v>
      </c>
      <c r="J56" s="11" t="s">
        <v>28</v>
      </c>
      <c r="K56" s="7">
        <v>14</v>
      </c>
      <c r="L56" s="12" t="str">
        <f ca="1" t="shared" si="1"/>
        <v>TV Freibug St. Georgen</v>
      </c>
      <c r="M56" s="11" t="s">
        <v>28</v>
      </c>
      <c r="N56" s="7">
        <v>13</v>
      </c>
      <c r="O56" s="12" t="str">
        <f ca="1" t="shared" si="2"/>
        <v>TSV Wuchzenhofen</v>
      </c>
      <c r="P56" s="14"/>
      <c r="Q56" s="7"/>
      <c r="R56" s="13" t="s">
        <v>50</v>
      </c>
      <c r="S56" s="7"/>
      <c r="T56" s="15">
        <f t="shared" si="3"/>
      </c>
      <c r="U56" s="13" t="s">
        <v>50</v>
      </c>
      <c r="V56" s="16">
        <f t="shared" si="4"/>
      </c>
      <c r="X56" s="13" t="s">
        <v>51</v>
      </c>
      <c r="Y56" s="13" t="s">
        <v>51</v>
      </c>
      <c r="AA56" s="7" t="s">
        <v>52</v>
      </c>
      <c r="AB56" s="4">
        <v>17</v>
      </c>
    </row>
    <row r="57" spans="2:28" ht="12.75">
      <c r="B57" s="7"/>
      <c r="C57" s="7"/>
      <c r="D57" s="7">
        <f t="shared" si="5"/>
        <v>35</v>
      </c>
      <c r="E57" s="7">
        <v>3</v>
      </c>
      <c r="F57" s="11" t="s">
        <v>30</v>
      </c>
      <c r="G57" s="7">
        <v>1</v>
      </c>
      <c r="H57" s="12" t="str">
        <f ca="1" t="shared" si="0"/>
        <v>GSV Gundernhausen</v>
      </c>
      <c r="I57" s="13" t="s">
        <v>49</v>
      </c>
      <c r="J57" s="11" t="s">
        <v>30</v>
      </c>
      <c r="K57" s="7">
        <v>4</v>
      </c>
      <c r="L57" s="12" t="str">
        <f ca="1" t="shared" si="1"/>
        <v>MTV Jahn Schladen</v>
      </c>
      <c r="M57" s="11" t="s">
        <v>30</v>
      </c>
      <c r="N57" s="7">
        <v>3</v>
      </c>
      <c r="O57" s="12" t="str">
        <f ca="1" t="shared" si="2"/>
        <v>TuS Aschen-Strang</v>
      </c>
      <c r="P57" s="14"/>
      <c r="Q57" s="7"/>
      <c r="R57" s="13" t="s">
        <v>50</v>
      </c>
      <c r="S57" s="7"/>
      <c r="T57" s="15">
        <f t="shared" si="3"/>
      </c>
      <c r="U57" s="13" t="s">
        <v>50</v>
      </c>
      <c r="V57" s="16">
        <f t="shared" si="4"/>
      </c>
      <c r="X57" s="13" t="s">
        <v>51</v>
      </c>
      <c r="Y57" s="13" t="s">
        <v>51</v>
      </c>
      <c r="AA57" s="7" t="s">
        <v>52</v>
      </c>
      <c r="AB57" s="4">
        <v>18</v>
      </c>
    </row>
    <row r="58" spans="2:28" ht="12.75">
      <c r="B58" s="17"/>
      <c r="C58" s="17"/>
      <c r="D58" s="17">
        <f t="shared" si="5"/>
        <v>36</v>
      </c>
      <c r="E58" s="17">
        <v>4</v>
      </c>
      <c r="F58" s="18" t="s">
        <v>30</v>
      </c>
      <c r="G58" s="17">
        <v>11</v>
      </c>
      <c r="H58" s="19" t="str">
        <f ca="1" t="shared" si="0"/>
        <v>TV Frisch-Auf Altenbochum</v>
      </c>
      <c r="I58" s="20" t="s">
        <v>49</v>
      </c>
      <c r="J58" s="18" t="s">
        <v>30</v>
      </c>
      <c r="K58" s="17">
        <v>14</v>
      </c>
      <c r="L58" s="19" t="str">
        <f ca="1" t="shared" si="1"/>
        <v>VfL Waiblingen</v>
      </c>
      <c r="M58" s="18" t="s">
        <v>30</v>
      </c>
      <c r="N58" s="17">
        <v>13</v>
      </c>
      <c r="O58" s="19" t="str">
        <f ca="1" t="shared" si="2"/>
        <v>TSV Güglingen</v>
      </c>
      <c r="P58" s="21"/>
      <c r="Q58" s="17"/>
      <c r="R58" s="20" t="s">
        <v>50</v>
      </c>
      <c r="S58" s="17"/>
      <c r="T58" s="22">
        <f t="shared" si="3"/>
      </c>
      <c r="U58" s="20" t="s">
        <v>50</v>
      </c>
      <c r="V58" s="23">
        <f t="shared" si="4"/>
      </c>
      <c r="X58" s="20" t="s">
        <v>51</v>
      </c>
      <c r="Y58" s="20" t="s">
        <v>51</v>
      </c>
      <c r="AA58" s="7" t="s">
        <v>52</v>
      </c>
      <c r="AB58" s="4">
        <v>18</v>
      </c>
    </row>
    <row r="59" spans="2:28" ht="12.75">
      <c r="B59" s="7">
        <f>+B55+1</f>
        <v>10</v>
      </c>
      <c r="C59" s="10">
        <v>0.53125</v>
      </c>
      <c r="D59" s="7">
        <f t="shared" si="5"/>
        <v>37</v>
      </c>
      <c r="E59" s="7">
        <v>1</v>
      </c>
      <c r="F59" s="11" t="s">
        <v>28</v>
      </c>
      <c r="G59" s="7">
        <v>2</v>
      </c>
      <c r="H59" s="12" t="str">
        <f ca="1" t="shared" si="0"/>
        <v>TuS Grün-Weiß Wuppertal</v>
      </c>
      <c r="I59" s="13" t="s">
        <v>49</v>
      </c>
      <c r="J59" s="11" t="s">
        <v>28</v>
      </c>
      <c r="K59" s="7">
        <v>5</v>
      </c>
      <c r="L59" s="12" t="str">
        <f ca="1" t="shared" si="1"/>
        <v>TV Walpershofen</v>
      </c>
      <c r="M59" s="11" t="s">
        <v>28</v>
      </c>
      <c r="N59" s="7">
        <v>4</v>
      </c>
      <c r="O59" s="12" t="str">
        <f ca="1" t="shared" si="2"/>
        <v>MTV Markoldendorf</v>
      </c>
      <c r="P59" s="14"/>
      <c r="Q59" s="7"/>
      <c r="R59" s="13" t="s">
        <v>50</v>
      </c>
      <c r="S59" s="7"/>
      <c r="T59" s="15">
        <f t="shared" si="3"/>
      </c>
      <c r="U59" s="13" t="s">
        <v>50</v>
      </c>
      <c r="V59" s="16">
        <f t="shared" si="4"/>
      </c>
      <c r="X59" s="13" t="s">
        <v>51</v>
      </c>
      <c r="Y59" s="13" t="s">
        <v>51</v>
      </c>
      <c r="AA59" s="7" t="s">
        <v>52</v>
      </c>
      <c r="AB59" s="4">
        <v>19</v>
      </c>
    </row>
    <row r="60" spans="2:28" ht="12.75">
      <c r="B60" s="7"/>
      <c r="C60" s="7"/>
      <c r="D60" s="7">
        <f t="shared" si="5"/>
        <v>38</v>
      </c>
      <c r="E60" s="7">
        <v>2</v>
      </c>
      <c r="F60" s="11" t="s">
        <v>28</v>
      </c>
      <c r="G60" s="7">
        <v>12</v>
      </c>
      <c r="H60" s="12" t="str">
        <f ca="1" t="shared" si="0"/>
        <v>TV Frisch-Auf Altenbochum</v>
      </c>
      <c r="I60" s="13" t="s">
        <v>49</v>
      </c>
      <c r="J60" s="11" t="s">
        <v>28</v>
      </c>
      <c r="K60" s="7">
        <v>15</v>
      </c>
      <c r="L60" s="12" t="str">
        <f ca="1" t="shared" si="1"/>
        <v>TSV Marienfelde</v>
      </c>
      <c r="M60" s="11" t="s">
        <v>28</v>
      </c>
      <c r="N60" s="7">
        <v>14</v>
      </c>
      <c r="O60" s="12" t="str">
        <f ca="1" t="shared" si="2"/>
        <v>TV Freibug St. Georgen</v>
      </c>
      <c r="P60" s="14"/>
      <c r="Q60" s="7"/>
      <c r="R60" s="13" t="s">
        <v>50</v>
      </c>
      <c r="S60" s="7"/>
      <c r="T60" s="15">
        <f t="shared" si="3"/>
      </c>
      <c r="U60" s="13" t="s">
        <v>50</v>
      </c>
      <c r="V60" s="16">
        <f t="shared" si="4"/>
      </c>
      <c r="X60" s="13" t="s">
        <v>51</v>
      </c>
      <c r="Y60" s="13" t="s">
        <v>51</v>
      </c>
      <c r="AA60" s="7" t="s">
        <v>52</v>
      </c>
      <c r="AB60" s="4">
        <v>19</v>
      </c>
    </row>
    <row r="61" spans="2:28" ht="12.75">
      <c r="B61" s="7"/>
      <c r="C61" s="7"/>
      <c r="D61" s="7">
        <f t="shared" si="5"/>
        <v>39</v>
      </c>
      <c r="E61" s="7">
        <v>3</v>
      </c>
      <c r="F61" s="11" t="s">
        <v>30</v>
      </c>
      <c r="G61" s="7">
        <v>2</v>
      </c>
      <c r="H61" s="12" t="str">
        <f ca="1" t="shared" si="0"/>
        <v>TV Zeilhard</v>
      </c>
      <c r="I61" s="13" t="s">
        <v>49</v>
      </c>
      <c r="J61" s="11" t="s">
        <v>30</v>
      </c>
      <c r="K61" s="7">
        <v>5</v>
      </c>
      <c r="L61" s="12" t="str">
        <f ca="1" t="shared" si="1"/>
        <v>TV Oberschopfheim</v>
      </c>
      <c r="M61" s="11" t="s">
        <v>30</v>
      </c>
      <c r="N61" s="7">
        <v>4</v>
      </c>
      <c r="O61" s="12" t="str">
        <f ca="1" t="shared" si="2"/>
        <v>MTV Jahn Schladen</v>
      </c>
      <c r="P61" s="14"/>
      <c r="Q61" s="7"/>
      <c r="R61" s="13" t="s">
        <v>50</v>
      </c>
      <c r="S61" s="7"/>
      <c r="T61" s="15">
        <f t="shared" si="3"/>
      </c>
      <c r="U61" s="13" t="s">
        <v>50</v>
      </c>
      <c r="V61" s="16">
        <f t="shared" si="4"/>
      </c>
      <c r="X61" s="13" t="s">
        <v>51</v>
      </c>
      <c r="Y61" s="13" t="s">
        <v>51</v>
      </c>
      <c r="AA61" s="7" t="s">
        <v>52</v>
      </c>
      <c r="AB61" s="4">
        <v>20</v>
      </c>
    </row>
    <row r="62" spans="2:28" ht="12.75">
      <c r="B62" s="17"/>
      <c r="C62" s="17"/>
      <c r="D62" s="17">
        <f t="shared" si="5"/>
        <v>40</v>
      </c>
      <c r="E62" s="17">
        <v>4</v>
      </c>
      <c r="F62" s="18" t="s">
        <v>30</v>
      </c>
      <c r="G62" s="17">
        <v>12</v>
      </c>
      <c r="H62" s="19" t="str">
        <f ca="1" t="shared" si="0"/>
        <v>TV Berkenbaum</v>
      </c>
      <c r="I62" s="20" t="s">
        <v>49</v>
      </c>
      <c r="J62" s="18" t="s">
        <v>30</v>
      </c>
      <c r="K62" s="17">
        <v>15</v>
      </c>
      <c r="L62" s="19" t="str">
        <f ca="1" t="shared" si="1"/>
        <v>SG Aumund Vegesack</v>
      </c>
      <c r="M62" s="18" t="s">
        <v>30</v>
      </c>
      <c r="N62" s="17">
        <v>14</v>
      </c>
      <c r="O62" s="19" t="str">
        <f ca="1" t="shared" si="2"/>
        <v>VfL Waiblingen</v>
      </c>
      <c r="P62" s="21"/>
      <c r="Q62" s="17"/>
      <c r="R62" s="20" t="s">
        <v>50</v>
      </c>
      <c r="S62" s="17"/>
      <c r="T62" s="22">
        <f t="shared" si="3"/>
      </c>
      <c r="U62" s="20" t="s">
        <v>50</v>
      </c>
      <c r="V62" s="23">
        <f t="shared" si="4"/>
      </c>
      <c r="X62" s="20" t="s">
        <v>51</v>
      </c>
      <c r="Y62" s="20" t="s">
        <v>51</v>
      </c>
      <c r="AA62" s="7" t="s">
        <v>52</v>
      </c>
      <c r="AB62" s="4">
        <v>20</v>
      </c>
    </row>
    <row r="63" spans="2:27" ht="12.75" hidden="1" outlineLevel="1">
      <c r="B63" s="24" t="s">
        <v>53</v>
      </c>
      <c r="C63" s="24"/>
      <c r="D63" s="24" t="s">
        <v>54</v>
      </c>
      <c r="E63" s="7">
        <v>1</v>
      </c>
      <c r="F63" s="25"/>
      <c r="G63" s="24"/>
      <c r="H63" s="12"/>
      <c r="I63" s="13" t="s">
        <v>49</v>
      </c>
      <c r="J63" s="25"/>
      <c r="K63" s="24"/>
      <c r="L63" s="12"/>
      <c r="M63" s="25"/>
      <c r="N63" s="24"/>
      <c r="O63" s="12"/>
      <c r="P63" s="26"/>
      <c r="Q63" s="7"/>
      <c r="R63" s="13" t="s">
        <v>50</v>
      </c>
      <c r="S63" s="7"/>
      <c r="T63" s="15">
        <f t="shared" si="3"/>
      </c>
      <c r="U63" s="13" t="s">
        <v>50</v>
      </c>
      <c r="V63" s="16">
        <f t="shared" si="4"/>
      </c>
      <c r="X63" s="13" t="s">
        <v>51</v>
      </c>
      <c r="Y63" s="13" t="s">
        <v>51</v>
      </c>
      <c r="AA63" s="7" t="s">
        <v>55</v>
      </c>
    </row>
    <row r="64" spans="2:27" ht="12.75" hidden="1" outlineLevel="1">
      <c r="B64" s="24" t="s">
        <v>56</v>
      </c>
      <c r="C64" s="24"/>
      <c r="D64" s="24" t="s">
        <v>57</v>
      </c>
      <c r="E64" s="7">
        <v>2</v>
      </c>
      <c r="F64" s="25"/>
      <c r="G64" s="24"/>
      <c r="H64" s="12"/>
      <c r="I64" s="13" t="s">
        <v>49</v>
      </c>
      <c r="J64" s="25"/>
      <c r="K64" s="24"/>
      <c r="L64" s="12"/>
      <c r="M64" s="25"/>
      <c r="N64" s="24"/>
      <c r="O64" s="12"/>
      <c r="P64" s="26"/>
      <c r="Q64" s="7"/>
      <c r="R64" s="13" t="s">
        <v>50</v>
      </c>
      <c r="S64" s="7"/>
      <c r="T64" s="15">
        <f t="shared" si="3"/>
      </c>
      <c r="U64" s="13" t="s">
        <v>50</v>
      </c>
      <c r="V64" s="16">
        <f t="shared" si="4"/>
      </c>
      <c r="X64" s="13" t="s">
        <v>51</v>
      </c>
      <c r="Y64" s="13" t="s">
        <v>51</v>
      </c>
      <c r="AA64" s="7" t="s">
        <v>55</v>
      </c>
    </row>
    <row r="65" spans="2:27" ht="12.75" hidden="1" outlineLevel="1">
      <c r="B65" s="24"/>
      <c r="C65" s="24"/>
      <c r="D65" s="24" t="s">
        <v>58</v>
      </c>
      <c r="E65" s="7">
        <v>3</v>
      </c>
      <c r="F65" s="25"/>
      <c r="G65" s="24"/>
      <c r="H65" s="12"/>
      <c r="I65" s="13" t="s">
        <v>49</v>
      </c>
      <c r="J65" s="25"/>
      <c r="K65" s="24"/>
      <c r="L65" s="12"/>
      <c r="M65" s="25"/>
      <c r="N65" s="24"/>
      <c r="O65" s="12"/>
      <c r="P65" s="26"/>
      <c r="Q65" s="7"/>
      <c r="R65" s="13" t="s">
        <v>50</v>
      </c>
      <c r="S65" s="7"/>
      <c r="T65" s="15">
        <f t="shared" si="3"/>
      </c>
      <c r="U65" s="13" t="s">
        <v>50</v>
      </c>
      <c r="V65" s="16">
        <f t="shared" si="4"/>
      </c>
      <c r="X65" s="13" t="s">
        <v>51</v>
      </c>
      <c r="Y65" s="13" t="s">
        <v>51</v>
      </c>
      <c r="AA65" s="7" t="s">
        <v>55</v>
      </c>
    </row>
    <row r="66" spans="2:27" ht="12.75" hidden="1" outlineLevel="1">
      <c r="B66" s="17"/>
      <c r="C66" s="17"/>
      <c r="D66" s="17" t="s">
        <v>59</v>
      </c>
      <c r="E66" s="17">
        <v>4</v>
      </c>
      <c r="F66" s="18"/>
      <c r="G66" s="17"/>
      <c r="H66" s="19"/>
      <c r="I66" s="20" t="s">
        <v>49</v>
      </c>
      <c r="J66" s="18"/>
      <c r="K66" s="17"/>
      <c r="L66" s="19"/>
      <c r="M66" s="18"/>
      <c r="N66" s="17"/>
      <c r="O66" s="19"/>
      <c r="P66" s="21"/>
      <c r="Q66" s="17"/>
      <c r="R66" s="20" t="s">
        <v>50</v>
      </c>
      <c r="S66" s="17"/>
      <c r="T66" s="22">
        <f t="shared" si="3"/>
      </c>
      <c r="U66" s="20" t="s">
        <v>50</v>
      </c>
      <c r="V66" s="23">
        <f t="shared" si="4"/>
      </c>
      <c r="X66" s="20" t="s">
        <v>51</v>
      </c>
      <c r="Y66" s="20" t="s">
        <v>51</v>
      </c>
      <c r="AA66" s="7" t="s">
        <v>55</v>
      </c>
    </row>
    <row r="67" spans="2:27" ht="12.75" hidden="1" outlineLevel="1">
      <c r="B67" s="24" t="s">
        <v>60</v>
      </c>
      <c r="C67" s="24"/>
      <c r="D67" s="24" t="s">
        <v>61</v>
      </c>
      <c r="E67" s="7">
        <v>1</v>
      </c>
      <c r="F67" s="25"/>
      <c r="G67" s="24"/>
      <c r="H67" s="12"/>
      <c r="I67" s="13" t="s">
        <v>49</v>
      </c>
      <c r="J67" s="25"/>
      <c r="K67" s="24"/>
      <c r="L67" s="12"/>
      <c r="M67" s="25"/>
      <c r="N67" s="24"/>
      <c r="O67" s="12"/>
      <c r="P67" s="26"/>
      <c r="Q67" s="7"/>
      <c r="R67" s="13" t="s">
        <v>50</v>
      </c>
      <c r="S67" s="7"/>
      <c r="T67" s="15">
        <f t="shared" si="3"/>
      </c>
      <c r="U67" s="13" t="s">
        <v>50</v>
      </c>
      <c r="V67" s="16">
        <f t="shared" si="4"/>
      </c>
      <c r="X67" s="13" t="s">
        <v>51</v>
      </c>
      <c r="Y67" s="13" t="s">
        <v>51</v>
      </c>
      <c r="AA67" s="7" t="s">
        <v>55</v>
      </c>
    </row>
    <row r="68" spans="2:27" ht="12.75" hidden="1" outlineLevel="1">
      <c r="B68" s="24" t="s">
        <v>56</v>
      </c>
      <c r="C68" s="24"/>
      <c r="D68" s="24" t="s">
        <v>62</v>
      </c>
      <c r="E68" s="7">
        <v>2</v>
      </c>
      <c r="F68" s="25"/>
      <c r="G68" s="24"/>
      <c r="H68" s="12"/>
      <c r="I68" s="13" t="s">
        <v>49</v>
      </c>
      <c r="J68" s="25"/>
      <c r="K68" s="24"/>
      <c r="L68" s="12"/>
      <c r="M68" s="25"/>
      <c r="N68" s="24"/>
      <c r="O68" s="12"/>
      <c r="P68" s="26"/>
      <c r="Q68" s="7"/>
      <c r="R68" s="13" t="s">
        <v>50</v>
      </c>
      <c r="S68" s="7"/>
      <c r="T68" s="15">
        <f t="shared" si="3"/>
      </c>
      <c r="U68" s="13" t="s">
        <v>50</v>
      </c>
      <c r="V68" s="16">
        <f t="shared" si="4"/>
      </c>
      <c r="X68" s="13" t="s">
        <v>51</v>
      </c>
      <c r="Y68" s="13" t="s">
        <v>51</v>
      </c>
      <c r="AA68" s="7" t="s">
        <v>55</v>
      </c>
    </row>
    <row r="69" spans="2:27" ht="12.75" hidden="1" outlineLevel="1">
      <c r="B69" s="24"/>
      <c r="C69" s="24"/>
      <c r="D69" s="24" t="s">
        <v>63</v>
      </c>
      <c r="E69" s="7">
        <v>3</v>
      </c>
      <c r="F69" s="25"/>
      <c r="G69" s="24"/>
      <c r="H69" s="12"/>
      <c r="I69" s="13" t="s">
        <v>49</v>
      </c>
      <c r="J69" s="25"/>
      <c r="K69" s="24"/>
      <c r="L69" s="12"/>
      <c r="M69" s="25"/>
      <c r="N69" s="24"/>
      <c r="O69" s="12"/>
      <c r="P69" s="26"/>
      <c r="Q69" s="7"/>
      <c r="R69" s="13" t="s">
        <v>50</v>
      </c>
      <c r="S69" s="7"/>
      <c r="T69" s="15">
        <f t="shared" si="3"/>
      </c>
      <c r="U69" s="13" t="s">
        <v>50</v>
      </c>
      <c r="V69" s="16">
        <f t="shared" si="4"/>
      </c>
      <c r="X69" s="13" t="s">
        <v>51</v>
      </c>
      <c r="Y69" s="13" t="s">
        <v>51</v>
      </c>
      <c r="AA69" s="7" t="s">
        <v>55</v>
      </c>
    </row>
    <row r="70" spans="2:27" ht="12.75" hidden="1" outlineLevel="1">
      <c r="B70" s="17"/>
      <c r="C70" s="17"/>
      <c r="D70" s="17" t="s">
        <v>64</v>
      </c>
      <c r="E70" s="17">
        <v>4</v>
      </c>
      <c r="F70" s="18"/>
      <c r="G70" s="17"/>
      <c r="H70" s="19"/>
      <c r="I70" s="20" t="s">
        <v>49</v>
      </c>
      <c r="J70" s="18"/>
      <c r="K70" s="17"/>
      <c r="L70" s="19"/>
      <c r="M70" s="18"/>
      <c r="N70" s="17"/>
      <c r="O70" s="19"/>
      <c r="P70" s="21"/>
      <c r="Q70" s="17"/>
      <c r="R70" s="20" t="s">
        <v>50</v>
      </c>
      <c r="S70" s="17"/>
      <c r="T70" s="22">
        <f t="shared" si="3"/>
      </c>
      <c r="U70" s="20" t="s">
        <v>50</v>
      </c>
      <c r="V70" s="23">
        <f t="shared" si="4"/>
      </c>
      <c r="X70" s="20" t="s">
        <v>51</v>
      </c>
      <c r="Y70" s="20" t="s">
        <v>51</v>
      </c>
      <c r="AA70" s="7" t="s">
        <v>55</v>
      </c>
    </row>
    <row r="71" spans="2:27" ht="12.75" hidden="1" outlineLevel="1">
      <c r="B71" s="24" t="s">
        <v>65</v>
      </c>
      <c r="C71" s="24"/>
      <c r="D71" s="24" t="s">
        <v>66</v>
      </c>
      <c r="E71" s="7">
        <v>1</v>
      </c>
      <c r="F71" s="25"/>
      <c r="G71" s="24"/>
      <c r="H71" s="12"/>
      <c r="I71" s="13" t="s">
        <v>49</v>
      </c>
      <c r="J71" s="25"/>
      <c r="K71" s="24"/>
      <c r="L71" s="12"/>
      <c r="M71" s="25"/>
      <c r="N71" s="24"/>
      <c r="O71" s="12"/>
      <c r="P71" s="26"/>
      <c r="Q71" s="7"/>
      <c r="R71" s="13" t="s">
        <v>50</v>
      </c>
      <c r="S71" s="7"/>
      <c r="T71" s="15">
        <f t="shared" si="3"/>
      </c>
      <c r="U71" s="13" t="s">
        <v>50</v>
      </c>
      <c r="V71" s="16">
        <f t="shared" si="4"/>
      </c>
      <c r="X71" s="13" t="s">
        <v>51</v>
      </c>
      <c r="Y71" s="13" t="s">
        <v>51</v>
      </c>
      <c r="AA71" s="7" t="s">
        <v>55</v>
      </c>
    </row>
    <row r="72" spans="2:27" ht="12.75" hidden="1" outlineLevel="1">
      <c r="B72" s="24" t="s">
        <v>56</v>
      </c>
      <c r="C72" s="24"/>
      <c r="D72" s="24" t="s">
        <v>67</v>
      </c>
      <c r="E72" s="7">
        <v>2</v>
      </c>
      <c r="F72" s="25"/>
      <c r="G72" s="24"/>
      <c r="H72" s="12"/>
      <c r="I72" s="13" t="s">
        <v>49</v>
      </c>
      <c r="J72" s="25"/>
      <c r="K72" s="24"/>
      <c r="L72" s="12"/>
      <c r="M72" s="25"/>
      <c r="N72" s="24"/>
      <c r="O72" s="12"/>
      <c r="P72" s="26"/>
      <c r="Q72" s="7"/>
      <c r="R72" s="13" t="s">
        <v>50</v>
      </c>
      <c r="S72" s="7"/>
      <c r="T72" s="15">
        <f t="shared" si="3"/>
      </c>
      <c r="U72" s="13" t="s">
        <v>50</v>
      </c>
      <c r="V72" s="16">
        <f t="shared" si="4"/>
      </c>
      <c r="X72" s="13" t="s">
        <v>51</v>
      </c>
      <c r="Y72" s="13" t="s">
        <v>51</v>
      </c>
      <c r="AA72" s="7" t="s">
        <v>55</v>
      </c>
    </row>
    <row r="73" spans="2:27" ht="12.75" hidden="1" outlineLevel="1">
      <c r="B73" s="24"/>
      <c r="C73" s="24"/>
      <c r="D73" s="24" t="s">
        <v>68</v>
      </c>
      <c r="E73" s="7">
        <v>3</v>
      </c>
      <c r="F73" s="25"/>
      <c r="G73" s="24"/>
      <c r="H73" s="12"/>
      <c r="I73" s="13" t="s">
        <v>49</v>
      </c>
      <c r="J73" s="25"/>
      <c r="K73" s="24"/>
      <c r="L73" s="12"/>
      <c r="M73" s="25"/>
      <c r="N73" s="24"/>
      <c r="O73" s="12"/>
      <c r="P73" s="26"/>
      <c r="Q73" s="7"/>
      <c r="R73" s="13" t="s">
        <v>50</v>
      </c>
      <c r="S73" s="7"/>
      <c r="T73" s="15">
        <f t="shared" si="3"/>
      </c>
      <c r="U73" s="13" t="s">
        <v>50</v>
      </c>
      <c r="V73" s="16">
        <f t="shared" si="4"/>
      </c>
      <c r="X73" s="13" t="s">
        <v>51</v>
      </c>
      <c r="Y73" s="13" t="s">
        <v>51</v>
      </c>
      <c r="AA73" s="7" t="s">
        <v>55</v>
      </c>
    </row>
    <row r="74" spans="2:27" ht="12.75" hidden="1" outlineLevel="1">
      <c r="B74" s="17"/>
      <c r="C74" s="17"/>
      <c r="D74" s="17" t="s">
        <v>69</v>
      </c>
      <c r="E74" s="17">
        <v>4</v>
      </c>
      <c r="F74" s="18"/>
      <c r="G74" s="17"/>
      <c r="H74" s="19"/>
      <c r="I74" s="20" t="s">
        <v>49</v>
      </c>
      <c r="J74" s="18"/>
      <c r="K74" s="17"/>
      <c r="L74" s="19"/>
      <c r="M74" s="18"/>
      <c r="N74" s="17"/>
      <c r="O74" s="19"/>
      <c r="P74" s="21"/>
      <c r="Q74" s="17"/>
      <c r="R74" s="20" t="s">
        <v>50</v>
      </c>
      <c r="S74" s="17"/>
      <c r="T74" s="22">
        <f t="shared" si="3"/>
      </c>
      <c r="U74" s="20" t="s">
        <v>50</v>
      </c>
      <c r="V74" s="23">
        <f t="shared" si="4"/>
      </c>
      <c r="X74" s="20" t="s">
        <v>51</v>
      </c>
      <c r="Y74" s="20" t="s">
        <v>51</v>
      </c>
      <c r="AA74" s="7" t="s">
        <v>55</v>
      </c>
    </row>
    <row r="75" spans="2:27" ht="12.75" hidden="1" outlineLevel="1">
      <c r="B75" s="24" t="s">
        <v>70</v>
      </c>
      <c r="C75" s="24"/>
      <c r="D75" s="24" t="s">
        <v>71</v>
      </c>
      <c r="E75" s="7">
        <v>1</v>
      </c>
      <c r="F75" s="25"/>
      <c r="G75" s="24"/>
      <c r="H75" s="12"/>
      <c r="I75" s="13" t="s">
        <v>49</v>
      </c>
      <c r="J75" s="25"/>
      <c r="K75" s="24"/>
      <c r="L75" s="12"/>
      <c r="M75" s="25"/>
      <c r="N75" s="24"/>
      <c r="O75" s="12"/>
      <c r="P75" s="26"/>
      <c r="Q75" s="7"/>
      <c r="R75" s="13" t="s">
        <v>50</v>
      </c>
      <c r="S75" s="7"/>
      <c r="T75" s="15">
        <f t="shared" si="3"/>
      </c>
      <c r="U75" s="13" t="s">
        <v>50</v>
      </c>
      <c r="V75" s="16">
        <f t="shared" si="4"/>
      </c>
      <c r="X75" s="13" t="s">
        <v>51</v>
      </c>
      <c r="Y75" s="13" t="s">
        <v>51</v>
      </c>
      <c r="AA75" s="7" t="s">
        <v>55</v>
      </c>
    </row>
    <row r="76" spans="2:27" ht="12.75" hidden="1" outlineLevel="1">
      <c r="B76" s="24" t="s">
        <v>56</v>
      </c>
      <c r="C76" s="24"/>
      <c r="D76" s="24" t="s">
        <v>72</v>
      </c>
      <c r="E76" s="7">
        <v>2</v>
      </c>
      <c r="F76" s="25"/>
      <c r="G76" s="24"/>
      <c r="H76" s="12"/>
      <c r="I76" s="13" t="s">
        <v>49</v>
      </c>
      <c r="J76" s="25"/>
      <c r="K76" s="24"/>
      <c r="L76" s="12"/>
      <c r="M76" s="25"/>
      <c r="N76" s="24"/>
      <c r="O76" s="12"/>
      <c r="P76" s="26"/>
      <c r="Q76" s="7"/>
      <c r="R76" s="13" t="s">
        <v>50</v>
      </c>
      <c r="S76" s="7"/>
      <c r="T76" s="15">
        <f t="shared" si="3"/>
      </c>
      <c r="U76" s="13" t="s">
        <v>50</v>
      </c>
      <c r="V76" s="16">
        <f t="shared" si="4"/>
      </c>
      <c r="X76" s="13" t="s">
        <v>51</v>
      </c>
      <c r="Y76" s="13" t="s">
        <v>51</v>
      </c>
      <c r="AA76" s="7" t="s">
        <v>55</v>
      </c>
    </row>
    <row r="77" spans="2:27" ht="12.75" hidden="1" outlineLevel="1">
      <c r="B77" s="24"/>
      <c r="C77" s="24"/>
      <c r="D77" s="24" t="s">
        <v>73</v>
      </c>
      <c r="E77" s="7">
        <v>3</v>
      </c>
      <c r="F77" s="25"/>
      <c r="G77" s="24"/>
      <c r="H77" s="12"/>
      <c r="I77" s="13" t="s">
        <v>49</v>
      </c>
      <c r="J77" s="25"/>
      <c r="K77" s="24"/>
      <c r="L77" s="12"/>
      <c r="M77" s="25"/>
      <c r="N77" s="24"/>
      <c r="O77" s="12"/>
      <c r="P77" s="26"/>
      <c r="Q77" s="7"/>
      <c r="R77" s="13" t="s">
        <v>50</v>
      </c>
      <c r="S77" s="7"/>
      <c r="T77" s="15">
        <f t="shared" si="3"/>
      </c>
      <c r="U77" s="13" t="s">
        <v>50</v>
      </c>
      <c r="V77" s="16">
        <f t="shared" si="4"/>
      </c>
      <c r="X77" s="13" t="s">
        <v>51</v>
      </c>
      <c r="Y77" s="13" t="s">
        <v>51</v>
      </c>
      <c r="AA77" s="7" t="s">
        <v>55</v>
      </c>
    </row>
    <row r="78" spans="2:27" ht="12.75" hidden="1" outlineLevel="1">
      <c r="B78" s="17"/>
      <c r="C78" s="17"/>
      <c r="D78" s="17" t="s">
        <v>74</v>
      </c>
      <c r="E78" s="17">
        <v>4</v>
      </c>
      <c r="F78" s="18"/>
      <c r="G78" s="17"/>
      <c r="H78" s="19"/>
      <c r="I78" s="20" t="s">
        <v>49</v>
      </c>
      <c r="J78" s="18"/>
      <c r="K78" s="17"/>
      <c r="L78" s="19"/>
      <c r="M78" s="18"/>
      <c r="N78" s="17"/>
      <c r="O78" s="19"/>
      <c r="P78" s="21"/>
      <c r="Q78" s="17"/>
      <c r="R78" s="20" t="s">
        <v>50</v>
      </c>
      <c r="S78" s="17"/>
      <c r="T78" s="22">
        <f t="shared" si="3"/>
      </c>
      <c r="U78" s="20" t="s">
        <v>50</v>
      </c>
      <c r="V78" s="23">
        <f t="shared" si="4"/>
      </c>
      <c r="X78" s="20" t="s">
        <v>51</v>
      </c>
      <c r="Y78" s="20" t="s">
        <v>51</v>
      </c>
      <c r="AA78" s="7" t="s">
        <v>55</v>
      </c>
    </row>
    <row r="79" spans="2:28" ht="12.75" collapsed="1">
      <c r="B79" s="7">
        <f>+B59+1</f>
        <v>11</v>
      </c>
      <c r="C79" s="10">
        <v>0.5833333333333334</v>
      </c>
      <c r="D79" s="7">
        <f>+D62+1</f>
        <v>41</v>
      </c>
      <c r="E79" s="7">
        <v>1</v>
      </c>
      <c r="F79" s="11" t="s">
        <v>29</v>
      </c>
      <c r="G79" s="7">
        <v>1</v>
      </c>
      <c r="H79" s="12" t="str">
        <f ca="1" t="shared" si="6" ref="H79:H118">INDIRECT(ADDRESS(MATCH(G79,$A$1:$A$20,0),MATCH(F79,$A$6:$AE$6,0)))</f>
        <v>TV Berkenbaum</v>
      </c>
      <c r="I79" s="13" t="s">
        <v>49</v>
      </c>
      <c r="J79" s="11" t="s">
        <v>29</v>
      </c>
      <c r="K79" s="7">
        <v>2</v>
      </c>
      <c r="L79" s="12" t="str">
        <f ca="1" t="shared" si="7" ref="L79:L118">INDIRECT(ADDRESS(MATCH(K79,$A$1:$A$20,0),MATCH(J79,$A$6:$AE$6,0)))</f>
        <v>TV Frisch-Auf Altenbochum</v>
      </c>
      <c r="M79" s="11" t="s">
        <v>29</v>
      </c>
      <c r="N79" s="7">
        <v>3</v>
      </c>
      <c r="O79" s="12" t="str">
        <f ca="1" t="shared" si="8" ref="O79:O118">INDIRECT(ADDRESS(MATCH(N79,$A$1:$A$20,0),MATCH(M79,$A$6:$AE$6,0)))</f>
        <v>TV Baden</v>
      </c>
      <c r="P79" s="14"/>
      <c r="Q79" s="7"/>
      <c r="R79" s="13" t="s">
        <v>50</v>
      </c>
      <c r="S79" s="7"/>
      <c r="T79" s="15">
        <f t="shared" si="3"/>
      </c>
      <c r="U79" s="13" t="s">
        <v>50</v>
      </c>
      <c r="V79" s="16">
        <f t="shared" si="4"/>
      </c>
      <c r="X79" s="13" t="s">
        <v>51</v>
      </c>
      <c r="Y79" s="13" t="s">
        <v>51</v>
      </c>
      <c r="AA79" s="7" t="s">
        <v>75</v>
      </c>
      <c r="AB79" s="4">
        <v>1</v>
      </c>
    </row>
    <row r="80" spans="2:28" ht="12.75">
      <c r="B80" s="7"/>
      <c r="C80" s="7"/>
      <c r="D80" s="7">
        <f aca="true" t="shared" si="9" ref="D80:D118">+D79+1</f>
        <v>42</v>
      </c>
      <c r="E80" s="7">
        <v>2</v>
      </c>
      <c r="F80" s="11" t="s">
        <v>29</v>
      </c>
      <c r="G80" s="7">
        <v>11</v>
      </c>
      <c r="H80" s="12" t="str">
        <f ca="1" t="shared" si="6"/>
        <v>TV Hochneukirch</v>
      </c>
      <c r="I80" s="13" t="s">
        <v>49</v>
      </c>
      <c r="J80" s="11" t="s">
        <v>29</v>
      </c>
      <c r="K80" s="7">
        <v>12</v>
      </c>
      <c r="L80" s="12" t="str">
        <f ca="1" t="shared" si="7"/>
        <v>TV Hemer</v>
      </c>
      <c r="M80" s="11" t="s">
        <v>29</v>
      </c>
      <c r="N80" s="7">
        <v>13</v>
      </c>
      <c r="O80" s="12" t="str">
        <f ca="1" t="shared" si="8"/>
        <v>TSV Babenhausen</v>
      </c>
      <c r="P80" s="14"/>
      <c r="Q80" s="7"/>
      <c r="R80" s="13" t="s">
        <v>50</v>
      </c>
      <c r="S80" s="7"/>
      <c r="T80" s="15">
        <f t="shared" si="3"/>
      </c>
      <c r="U80" s="13" t="s">
        <v>50</v>
      </c>
      <c r="V80" s="16">
        <f t="shared" si="4"/>
      </c>
      <c r="X80" s="13" t="s">
        <v>51</v>
      </c>
      <c r="Y80" s="13" t="s">
        <v>51</v>
      </c>
      <c r="AA80" s="7" t="s">
        <v>75</v>
      </c>
      <c r="AB80" s="4">
        <v>1</v>
      </c>
    </row>
    <row r="81" spans="2:28" ht="12.75">
      <c r="B81" s="7"/>
      <c r="C81" s="7"/>
      <c r="D81" s="7">
        <f t="shared" si="9"/>
        <v>43</v>
      </c>
      <c r="E81" s="7">
        <v>3</v>
      </c>
      <c r="F81" s="11" t="s">
        <v>31</v>
      </c>
      <c r="G81" s="7">
        <v>1</v>
      </c>
      <c r="H81" s="12" t="str">
        <f ca="1" t="shared" si="6"/>
        <v>TuS Meinerzhagen</v>
      </c>
      <c r="I81" s="13" t="s">
        <v>49</v>
      </c>
      <c r="J81" s="11" t="s">
        <v>31</v>
      </c>
      <c r="K81" s="7">
        <v>2</v>
      </c>
      <c r="L81" s="12" t="str">
        <f ca="1" t="shared" si="7"/>
        <v>ATV Bad Honnef-Selhof</v>
      </c>
      <c r="M81" s="11" t="s">
        <v>31</v>
      </c>
      <c r="N81" s="7">
        <v>3</v>
      </c>
      <c r="O81" s="12" t="str">
        <f ca="1" t="shared" si="8"/>
        <v>Vegesacker TV</v>
      </c>
      <c r="P81" s="14"/>
      <c r="Q81" s="7"/>
      <c r="R81" s="13" t="s">
        <v>50</v>
      </c>
      <c r="S81" s="7"/>
      <c r="T81" s="15">
        <f t="shared" si="3"/>
      </c>
      <c r="U81" s="13" t="s">
        <v>50</v>
      </c>
      <c r="V81" s="16">
        <f t="shared" si="4"/>
      </c>
      <c r="X81" s="13" t="s">
        <v>51</v>
      </c>
      <c r="Y81" s="13" t="s">
        <v>51</v>
      </c>
      <c r="AA81" s="7" t="s">
        <v>75</v>
      </c>
      <c r="AB81" s="4">
        <v>2</v>
      </c>
    </row>
    <row r="82" spans="2:28" ht="12.75">
      <c r="B82" s="17"/>
      <c r="C82" s="17"/>
      <c r="D82" s="17">
        <f t="shared" si="9"/>
        <v>44</v>
      </c>
      <c r="E82" s="17">
        <v>4</v>
      </c>
      <c r="F82" s="18" t="s">
        <v>31</v>
      </c>
      <c r="G82" s="17">
        <v>11</v>
      </c>
      <c r="H82" s="19" t="str">
        <f ca="1" t="shared" si="6"/>
        <v>Linden-Dahlhauser TV</v>
      </c>
      <c r="I82" s="20" t="s">
        <v>49</v>
      </c>
      <c r="J82" s="18" t="s">
        <v>31</v>
      </c>
      <c r="K82" s="17">
        <v>12</v>
      </c>
      <c r="L82" s="19" t="str">
        <f ca="1" t="shared" si="7"/>
        <v>TV Jahn Bad Lippspringe</v>
      </c>
      <c r="M82" s="18" t="s">
        <v>31</v>
      </c>
      <c r="N82" s="17">
        <v>13</v>
      </c>
      <c r="O82" s="19" t="str">
        <f ca="1" t="shared" si="8"/>
        <v>VfL Waiblingen</v>
      </c>
      <c r="P82" s="21"/>
      <c r="Q82" s="17"/>
      <c r="R82" s="20" t="s">
        <v>50</v>
      </c>
      <c r="S82" s="17"/>
      <c r="T82" s="22">
        <f t="shared" si="3"/>
      </c>
      <c r="U82" s="20" t="s">
        <v>50</v>
      </c>
      <c r="V82" s="23">
        <f t="shared" si="4"/>
      </c>
      <c r="X82" s="20" t="s">
        <v>51</v>
      </c>
      <c r="Y82" s="20" t="s">
        <v>51</v>
      </c>
      <c r="AA82" s="7" t="s">
        <v>75</v>
      </c>
      <c r="AB82" s="4">
        <v>2</v>
      </c>
    </row>
    <row r="83" spans="2:28" ht="12.75">
      <c r="B83" s="7">
        <f>+B79+1</f>
        <v>12</v>
      </c>
      <c r="C83" s="10">
        <v>0.6006944444444445</v>
      </c>
      <c r="D83" s="7">
        <f t="shared" si="9"/>
        <v>45</v>
      </c>
      <c r="E83" s="7">
        <v>1</v>
      </c>
      <c r="F83" s="11" t="s">
        <v>29</v>
      </c>
      <c r="G83" s="7">
        <v>3</v>
      </c>
      <c r="H83" s="12" t="str">
        <f ca="1" t="shared" si="6"/>
        <v>TV Baden</v>
      </c>
      <c r="I83" s="13" t="s">
        <v>49</v>
      </c>
      <c r="J83" s="11" t="s">
        <v>29</v>
      </c>
      <c r="K83" s="7">
        <v>4</v>
      </c>
      <c r="L83" s="12" t="str">
        <f ca="1" t="shared" si="7"/>
        <v>TV Sottrum</v>
      </c>
      <c r="M83" s="11" t="s">
        <v>29</v>
      </c>
      <c r="N83" s="7">
        <v>5</v>
      </c>
      <c r="O83" s="12" t="str">
        <f ca="1" t="shared" si="8"/>
        <v>VfL Waiblingen</v>
      </c>
      <c r="P83" s="14"/>
      <c r="Q83" s="7"/>
      <c r="R83" s="13" t="s">
        <v>50</v>
      </c>
      <c r="S83" s="7"/>
      <c r="T83" s="15">
        <f t="shared" si="3"/>
      </c>
      <c r="U83" s="13" t="s">
        <v>50</v>
      </c>
      <c r="V83" s="16">
        <f t="shared" si="4"/>
      </c>
      <c r="X83" s="13" t="s">
        <v>51</v>
      </c>
      <c r="Y83" s="13" t="s">
        <v>51</v>
      </c>
      <c r="AA83" s="7" t="s">
        <v>75</v>
      </c>
      <c r="AB83" s="4">
        <v>3</v>
      </c>
    </row>
    <row r="84" spans="2:28" ht="12.75">
      <c r="B84" s="7"/>
      <c r="C84" s="7"/>
      <c r="D84" s="7">
        <f t="shared" si="9"/>
        <v>46</v>
      </c>
      <c r="E84" s="7">
        <v>2</v>
      </c>
      <c r="F84" s="11" t="s">
        <v>29</v>
      </c>
      <c r="G84" s="7">
        <v>13</v>
      </c>
      <c r="H84" s="12" t="str">
        <f ca="1" t="shared" si="6"/>
        <v>TSV Babenhausen</v>
      </c>
      <c r="I84" s="13" t="s">
        <v>49</v>
      </c>
      <c r="J84" s="11" t="s">
        <v>29</v>
      </c>
      <c r="K84" s="7">
        <v>14</v>
      </c>
      <c r="L84" s="12" t="str">
        <f ca="1" t="shared" si="7"/>
        <v>TV Freiburg St. Georgen</v>
      </c>
      <c r="M84" s="11" t="s">
        <v>29</v>
      </c>
      <c r="N84" s="7">
        <v>15</v>
      </c>
      <c r="O84" s="12" t="str">
        <f ca="1" t="shared" si="8"/>
        <v>Vegesacker TV</v>
      </c>
      <c r="P84" s="14"/>
      <c r="Q84" s="7"/>
      <c r="R84" s="13" t="s">
        <v>50</v>
      </c>
      <c r="S84" s="7"/>
      <c r="T84" s="15">
        <f t="shared" si="3"/>
      </c>
      <c r="U84" s="13" t="s">
        <v>50</v>
      </c>
      <c r="V84" s="16">
        <f t="shared" si="4"/>
      </c>
      <c r="X84" s="13" t="s">
        <v>51</v>
      </c>
      <c r="Y84" s="13" t="s">
        <v>51</v>
      </c>
      <c r="AA84" s="7" t="s">
        <v>75</v>
      </c>
      <c r="AB84" s="4">
        <v>3</v>
      </c>
    </row>
    <row r="85" spans="2:28" ht="12.75">
      <c r="B85" s="7"/>
      <c r="C85" s="7"/>
      <c r="D85" s="7">
        <f t="shared" si="9"/>
        <v>47</v>
      </c>
      <c r="E85" s="7">
        <v>3</v>
      </c>
      <c r="F85" s="11" t="s">
        <v>31</v>
      </c>
      <c r="G85" s="7">
        <v>3</v>
      </c>
      <c r="H85" s="12" t="str">
        <f ca="1" t="shared" si="6"/>
        <v>Vegesacker TV</v>
      </c>
      <c r="I85" s="13" t="s">
        <v>49</v>
      </c>
      <c r="J85" s="11" t="s">
        <v>31</v>
      </c>
      <c r="K85" s="7">
        <v>4</v>
      </c>
      <c r="L85" s="12" t="str">
        <f ca="1" t="shared" si="7"/>
        <v>MTV Jahn Schladen</v>
      </c>
      <c r="M85" s="11" t="s">
        <v>31</v>
      </c>
      <c r="N85" s="7">
        <v>5</v>
      </c>
      <c r="O85" s="12" t="str">
        <f ca="1" t="shared" si="8"/>
        <v>TV Huchenfeld</v>
      </c>
      <c r="P85" s="14"/>
      <c r="Q85" s="7"/>
      <c r="R85" s="13" t="s">
        <v>50</v>
      </c>
      <c r="S85" s="7"/>
      <c r="T85" s="15">
        <f t="shared" si="3"/>
      </c>
      <c r="U85" s="13" t="s">
        <v>50</v>
      </c>
      <c r="V85" s="16">
        <f t="shared" si="4"/>
      </c>
      <c r="X85" s="13" t="s">
        <v>51</v>
      </c>
      <c r="Y85" s="13" t="s">
        <v>51</v>
      </c>
      <c r="AA85" s="7" t="s">
        <v>75</v>
      </c>
      <c r="AB85" s="4">
        <v>4</v>
      </c>
    </row>
    <row r="86" spans="2:28" ht="12.75">
      <c r="B86" s="17"/>
      <c r="C86" s="17"/>
      <c r="D86" s="17">
        <f t="shared" si="9"/>
        <v>48</v>
      </c>
      <c r="E86" s="17">
        <v>4</v>
      </c>
      <c r="F86" s="18" t="s">
        <v>31</v>
      </c>
      <c r="G86" s="17">
        <v>13</v>
      </c>
      <c r="H86" s="19" t="str">
        <f ca="1" t="shared" si="6"/>
        <v>VfL Waiblingen</v>
      </c>
      <c r="I86" s="20" t="s">
        <v>49</v>
      </c>
      <c r="J86" s="18" t="s">
        <v>31</v>
      </c>
      <c r="K86" s="17">
        <v>14</v>
      </c>
      <c r="L86" s="19" t="str">
        <f ca="1" t="shared" si="7"/>
        <v>TSV Ludwigshafen</v>
      </c>
      <c r="M86" s="18" t="s">
        <v>31</v>
      </c>
      <c r="N86" s="17">
        <v>15</v>
      </c>
      <c r="O86" s="19" t="str">
        <f ca="1" t="shared" si="8"/>
        <v>TuS Concordia Hülsede</v>
      </c>
      <c r="P86" s="21"/>
      <c r="Q86" s="17"/>
      <c r="R86" s="20" t="s">
        <v>50</v>
      </c>
      <c r="S86" s="17"/>
      <c r="T86" s="22">
        <f t="shared" si="3"/>
      </c>
      <c r="U86" s="20" t="s">
        <v>50</v>
      </c>
      <c r="V86" s="23">
        <f t="shared" si="4"/>
      </c>
      <c r="X86" s="20" t="s">
        <v>51</v>
      </c>
      <c r="Y86" s="20" t="s">
        <v>51</v>
      </c>
      <c r="AA86" s="7" t="s">
        <v>75</v>
      </c>
      <c r="AB86" s="4">
        <v>4</v>
      </c>
    </row>
    <row r="87" spans="2:28" ht="12.75">
      <c r="B87" s="7">
        <f>+B83+1</f>
        <v>13</v>
      </c>
      <c r="C87" s="10">
        <v>0.6180555555555557</v>
      </c>
      <c r="D87" s="7">
        <f t="shared" si="9"/>
        <v>49</v>
      </c>
      <c r="E87" s="7">
        <v>1</v>
      </c>
      <c r="F87" s="11" t="s">
        <v>29</v>
      </c>
      <c r="G87" s="7">
        <v>1</v>
      </c>
      <c r="H87" s="12" t="str">
        <f ca="1" t="shared" si="6"/>
        <v>TV Berkenbaum</v>
      </c>
      <c r="I87" s="13" t="s">
        <v>49</v>
      </c>
      <c r="J87" s="11" t="s">
        <v>29</v>
      </c>
      <c r="K87" s="7">
        <v>5</v>
      </c>
      <c r="L87" s="12" t="str">
        <f ca="1" t="shared" si="7"/>
        <v>VfL Waiblingen</v>
      </c>
      <c r="M87" s="11" t="s">
        <v>29</v>
      </c>
      <c r="N87" s="7">
        <v>2</v>
      </c>
      <c r="O87" s="12" t="str">
        <f ca="1" t="shared" si="8"/>
        <v>TV Frisch-Auf Altenbochum</v>
      </c>
      <c r="P87" s="14"/>
      <c r="Q87" s="7"/>
      <c r="R87" s="13" t="s">
        <v>50</v>
      </c>
      <c r="S87" s="7"/>
      <c r="T87" s="15">
        <f aca="true" t="shared" si="10" ref="T87:T118">IF(Q87="","",IF(Q87&gt;S87,2,IF(Q87&lt;S87,0,1)))</f>
      </c>
      <c r="U87" s="13" t="s">
        <v>50</v>
      </c>
      <c r="V87" s="16">
        <f aca="true" t="shared" si="11" ref="V87:V119">IF(S87="","",IF(S87&gt;Q87,2,IF(S87&lt;Q87,0,1)))</f>
      </c>
      <c r="X87" s="13" t="s">
        <v>51</v>
      </c>
      <c r="Y87" s="13" t="s">
        <v>51</v>
      </c>
      <c r="AA87" s="7" t="s">
        <v>75</v>
      </c>
      <c r="AB87" s="4">
        <v>5</v>
      </c>
    </row>
    <row r="88" spans="2:28" ht="12.75">
      <c r="B88" s="7"/>
      <c r="C88" s="7"/>
      <c r="D88" s="7">
        <f t="shared" si="9"/>
        <v>50</v>
      </c>
      <c r="E88" s="7">
        <v>2</v>
      </c>
      <c r="F88" s="11" t="s">
        <v>29</v>
      </c>
      <c r="G88" s="7">
        <v>11</v>
      </c>
      <c r="H88" s="12" t="str">
        <f ca="1" t="shared" si="6"/>
        <v>TV Hochneukirch</v>
      </c>
      <c r="I88" s="13" t="s">
        <v>49</v>
      </c>
      <c r="J88" s="11" t="s">
        <v>29</v>
      </c>
      <c r="K88" s="7">
        <v>15</v>
      </c>
      <c r="L88" s="12" t="str">
        <f ca="1" t="shared" si="7"/>
        <v>Vegesacker TV</v>
      </c>
      <c r="M88" s="11" t="s">
        <v>29</v>
      </c>
      <c r="N88" s="7">
        <v>12</v>
      </c>
      <c r="O88" s="12" t="str">
        <f ca="1" t="shared" si="8"/>
        <v>TV Hemer</v>
      </c>
      <c r="P88" s="14"/>
      <c r="Q88" s="7"/>
      <c r="R88" s="13" t="s">
        <v>50</v>
      </c>
      <c r="S88" s="7"/>
      <c r="T88" s="15">
        <f t="shared" si="10"/>
      </c>
      <c r="U88" s="13" t="s">
        <v>50</v>
      </c>
      <c r="V88" s="16">
        <f t="shared" si="11"/>
      </c>
      <c r="X88" s="13" t="s">
        <v>51</v>
      </c>
      <c r="Y88" s="13" t="s">
        <v>51</v>
      </c>
      <c r="AA88" s="7" t="s">
        <v>75</v>
      </c>
      <c r="AB88" s="4">
        <v>5</v>
      </c>
    </row>
    <row r="89" spans="2:28" ht="12.75">
      <c r="B89" s="7"/>
      <c r="C89" s="7"/>
      <c r="D89" s="7">
        <f t="shared" si="9"/>
        <v>51</v>
      </c>
      <c r="E89" s="7">
        <v>3</v>
      </c>
      <c r="F89" s="11" t="s">
        <v>31</v>
      </c>
      <c r="G89" s="7">
        <v>1</v>
      </c>
      <c r="H89" s="12" t="str">
        <f ca="1" t="shared" si="6"/>
        <v>TuS Meinerzhagen</v>
      </c>
      <c r="I89" s="13" t="s">
        <v>49</v>
      </c>
      <c r="J89" s="11" t="s">
        <v>31</v>
      </c>
      <c r="K89" s="7">
        <v>5</v>
      </c>
      <c r="L89" s="12" t="str">
        <f ca="1" t="shared" si="7"/>
        <v>TV Huchenfeld</v>
      </c>
      <c r="M89" s="11" t="s">
        <v>31</v>
      </c>
      <c r="N89" s="7">
        <v>2</v>
      </c>
      <c r="O89" s="12" t="str">
        <f ca="1" t="shared" si="8"/>
        <v>ATV Bad Honnef-Selhof</v>
      </c>
      <c r="P89" s="14"/>
      <c r="Q89" s="7"/>
      <c r="R89" s="13" t="s">
        <v>50</v>
      </c>
      <c r="S89" s="7"/>
      <c r="T89" s="15">
        <f t="shared" si="10"/>
      </c>
      <c r="U89" s="13" t="s">
        <v>50</v>
      </c>
      <c r="V89" s="16">
        <f t="shared" si="11"/>
      </c>
      <c r="X89" s="13" t="s">
        <v>51</v>
      </c>
      <c r="Y89" s="13" t="s">
        <v>51</v>
      </c>
      <c r="AA89" s="7" t="s">
        <v>75</v>
      </c>
      <c r="AB89" s="4">
        <v>6</v>
      </c>
    </row>
    <row r="90" spans="2:28" ht="12.75">
      <c r="B90" s="17"/>
      <c r="C90" s="17"/>
      <c r="D90" s="17">
        <f t="shared" si="9"/>
        <v>52</v>
      </c>
      <c r="E90" s="17">
        <v>4</v>
      </c>
      <c r="F90" s="18" t="s">
        <v>31</v>
      </c>
      <c r="G90" s="17">
        <v>11</v>
      </c>
      <c r="H90" s="19" t="str">
        <f ca="1" t="shared" si="6"/>
        <v>Linden-Dahlhauser TV</v>
      </c>
      <c r="I90" s="20" t="s">
        <v>49</v>
      </c>
      <c r="J90" s="18" t="s">
        <v>31</v>
      </c>
      <c r="K90" s="17">
        <v>15</v>
      </c>
      <c r="L90" s="19" t="str">
        <f ca="1" t="shared" si="7"/>
        <v>TuS Concordia Hülsede</v>
      </c>
      <c r="M90" s="18" t="s">
        <v>31</v>
      </c>
      <c r="N90" s="17">
        <v>12</v>
      </c>
      <c r="O90" s="19" t="str">
        <f ca="1" t="shared" si="8"/>
        <v>TV Jahn Bad Lippspringe</v>
      </c>
      <c r="P90" s="21"/>
      <c r="Q90" s="17"/>
      <c r="R90" s="20" t="s">
        <v>50</v>
      </c>
      <c r="S90" s="17"/>
      <c r="T90" s="22">
        <f t="shared" si="10"/>
      </c>
      <c r="U90" s="20" t="s">
        <v>50</v>
      </c>
      <c r="V90" s="23">
        <f t="shared" si="11"/>
      </c>
      <c r="X90" s="20" t="s">
        <v>51</v>
      </c>
      <c r="Y90" s="20" t="s">
        <v>51</v>
      </c>
      <c r="AA90" s="7" t="s">
        <v>75</v>
      </c>
      <c r="AB90" s="4">
        <v>6</v>
      </c>
    </row>
    <row r="91" spans="2:28" ht="12.75">
      <c r="B91" s="7">
        <f>+B87+1</f>
        <v>14</v>
      </c>
      <c r="C91" s="10">
        <v>0.6354166666666669</v>
      </c>
      <c r="D91" s="7">
        <f t="shared" si="9"/>
        <v>53</v>
      </c>
      <c r="E91" s="7">
        <v>1</v>
      </c>
      <c r="F91" s="11" t="s">
        <v>29</v>
      </c>
      <c r="G91" s="7">
        <v>2</v>
      </c>
      <c r="H91" s="12" t="str">
        <f ca="1" t="shared" si="6"/>
        <v>TV Frisch-Auf Altenbochum</v>
      </c>
      <c r="I91" s="13" t="s">
        <v>49</v>
      </c>
      <c r="J91" s="11" t="s">
        <v>29</v>
      </c>
      <c r="K91" s="7">
        <v>3</v>
      </c>
      <c r="L91" s="12" t="str">
        <f ca="1" t="shared" si="7"/>
        <v>TV Baden</v>
      </c>
      <c r="M91" s="11" t="s">
        <v>29</v>
      </c>
      <c r="N91" s="7">
        <v>4</v>
      </c>
      <c r="O91" s="12" t="str">
        <f ca="1" t="shared" si="8"/>
        <v>TV Sottrum</v>
      </c>
      <c r="P91" s="14"/>
      <c r="Q91" s="7"/>
      <c r="R91" s="13" t="s">
        <v>50</v>
      </c>
      <c r="S91" s="7"/>
      <c r="T91" s="15">
        <f t="shared" si="10"/>
      </c>
      <c r="U91" s="13" t="s">
        <v>50</v>
      </c>
      <c r="V91" s="16">
        <f t="shared" si="11"/>
      </c>
      <c r="X91" s="13" t="s">
        <v>51</v>
      </c>
      <c r="Y91" s="13" t="s">
        <v>51</v>
      </c>
      <c r="AA91" s="7" t="s">
        <v>75</v>
      </c>
      <c r="AB91" s="4">
        <v>7</v>
      </c>
    </row>
    <row r="92" spans="2:28" ht="12.75">
      <c r="B92" s="7"/>
      <c r="C92" s="7"/>
      <c r="D92" s="7">
        <f t="shared" si="9"/>
        <v>54</v>
      </c>
      <c r="E92" s="7">
        <v>2</v>
      </c>
      <c r="F92" s="11" t="s">
        <v>29</v>
      </c>
      <c r="G92" s="7">
        <v>12</v>
      </c>
      <c r="H92" s="12" t="str">
        <f ca="1" t="shared" si="6"/>
        <v>TV Hemer</v>
      </c>
      <c r="I92" s="13" t="s">
        <v>49</v>
      </c>
      <c r="J92" s="11" t="s">
        <v>29</v>
      </c>
      <c r="K92" s="7">
        <v>13</v>
      </c>
      <c r="L92" s="12" t="str">
        <f ca="1" t="shared" si="7"/>
        <v>TSV Babenhausen</v>
      </c>
      <c r="M92" s="11" t="s">
        <v>29</v>
      </c>
      <c r="N92" s="7">
        <v>14</v>
      </c>
      <c r="O92" s="12" t="str">
        <f ca="1" t="shared" si="8"/>
        <v>TV Freiburg St. Georgen</v>
      </c>
      <c r="P92" s="14"/>
      <c r="Q92" s="7"/>
      <c r="R92" s="13" t="s">
        <v>50</v>
      </c>
      <c r="S92" s="7"/>
      <c r="T92" s="15">
        <f t="shared" si="10"/>
      </c>
      <c r="U92" s="13" t="s">
        <v>50</v>
      </c>
      <c r="V92" s="16">
        <f t="shared" si="11"/>
      </c>
      <c r="X92" s="13" t="s">
        <v>51</v>
      </c>
      <c r="Y92" s="13" t="s">
        <v>51</v>
      </c>
      <c r="AA92" s="7" t="s">
        <v>75</v>
      </c>
      <c r="AB92" s="4">
        <v>7</v>
      </c>
    </row>
    <row r="93" spans="2:28" ht="12.75">
      <c r="B93" s="7"/>
      <c r="C93" s="7"/>
      <c r="D93" s="7">
        <f t="shared" si="9"/>
        <v>55</v>
      </c>
      <c r="E93" s="7">
        <v>3</v>
      </c>
      <c r="F93" s="11" t="s">
        <v>31</v>
      </c>
      <c r="G93" s="7">
        <v>2</v>
      </c>
      <c r="H93" s="12" t="str">
        <f ca="1" t="shared" si="6"/>
        <v>ATV Bad Honnef-Selhof</v>
      </c>
      <c r="I93" s="13" t="s">
        <v>49</v>
      </c>
      <c r="J93" s="11" t="s">
        <v>31</v>
      </c>
      <c r="K93" s="7">
        <v>3</v>
      </c>
      <c r="L93" s="12" t="str">
        <f ca="1" t="shared" si="7"/>
        <v>Vegesacker TV</v>
      </c>
      <c r="M93" s="11" t="s">
        <v>31</v>
      </c>
      <c r="N93" s="7">
        <v>4</v>
      </c>
      <c r="O93" s="12" t="str">
        <f ca="1" t="shared" si="8"/>
        <v>MTV Jahn Schladen</v>
      </c>
      <c r="P93" s="14"/>
      <c r="Q93" s="7"/>
      <c r="R93" s="13" t="s">
        <v>50</v>
      </c>
      <c r="S93" s="7"/>
      <c r="T93" s="15">
        <f t="shared" si="10"/>
      </c>
      <c r="U93" s="13" t="s">
        <v>50</v>
      </c>
      <c r="V93" s="16">
        <f t="shared" si="11"/>
      </c>
      <c r="X93" s="13" t="s">
        <v>51</v>
      </c>
      <c r="Y93" s="13" t="s">
        <v>51</v>
      </c>
      <c r="AA93" s="7" t="s">
        <v>75</v>
      </c>
      <c r="AB93" s="4">
        <v>8</v>
      </c>
    </row>
    <row r="94" spans="2:28" ht="12.75">
      <c r="B94" s="17"/>
      <c r="C94" s="17"/>
      <c r="D94" s="17">
        <f t="shared" si="9"/>
        <v>56</v>
      </c>
      <c r="E94" s="17">
        <v>4</v>
      </c>
      <c r="F94" s="18" t="s">
        <v>31</v>
      </c>
      <c r="G94" s="17">
        <v>12</v>
      </c>
      <c r="H94" s="19" t="str">
        <f ca="1" t="shared" si="6"/>
        <v>TV Jahn Bad Lippspringe</v>
      </c>
      <c r="I94" s="20" t="s">
        <v>49</v>
      </c>
      <c r="J94" s="18" t="s">
        <v>31</v>
      </c>
      <c r="K94" s="17">
        <v>13</v>
      </c>
      <c r="L94" s="19" t="str">
        <f ca="1" t="shared" si="7"/>
        <v>VfL Waiblingen</v>
      </c>
      <c r="M94" s="18" t="s">
        <v>31</v>
      </c>
      <c r="N94" s="17">
        <v>14</v>
      </c>
      <c r="O94" s="19" t="str">
        <f ca="1" t="shared" si="8"/>
        <v>TSV Ludwigshafen</v>
      </c>
      <c r="P94" s="21"/>
      <c r="Q94" s="17"/>
      <c r="R94" s="20" t="s">
        <v>50</v>
      </c>
      <c r="S94" s="17"/>
      <c r="T94" s="22">
        <f t="shared" si="10"/>
      </c>
      <c r="U94" s="20" t="s">
        <v>50</v>
      </c>
      <c r="V94" s="23">
        <f t="shared" si="11"/>
      </c>
      <c r="X94" s="20" t="s">
        <v>51</v>
      </c>
      <c r="Y94" s="20" t="s">
        <v>51</v>
      </c>
      <c r="AA94" s="7" t="s">
        <v>75</v>
      </c>
      <c r="AB94" s="4">
        <v>8</v>
      </c>
    </row>
    <row r="95" spans="2:28" ht="12.75">
      <c r="B95" s="7">
        <f>+B91+1</f>
        <v>15</v>
      </c>
      <c r="C95" s="10">
        <v>0.652777777777778</v>
      </c>
      <c r="D95" s="7">
        <f t="shared" si="9"/>
        <v>57</v>
      </c>
      <c r="E95" s="7">
        <v>1</v>
      </c>
      <c r="F95" s="11" t="s">
        <v>29</v>
      </c>
      <c r="G95" s="7">
        <v>4</v>
      </c>
      <c r="H95" s="12" t="str">
        <f ca="1" t="shared" si="6"/>
        <v>TV Sottrum</v>
      </c>
      <c r="I95" s="13" t="s">
        <v>49</v>
      </c>
      <c r="J95" s="11" t="s">
        <v>29</v>
      </c>
      <c r="K95" s="7">
        <v>5</v>
      </c>
      <c r="L95" s="12" t="str">
        <f ca="1" t="shared" si="7"/>
        <v>VfL Waiblingen</v>
      </c>
      <c r="M95" s="11" t="s">
        <v>29</v>
      </c>
      <c r="N95" s="7">
        <v>1</v>
      </c>
      <c r="O95" s="12" t="str">
        <f ca="1" t="shared" si="8"/>
        <v>TV Berkenbaum</v>
      </c>
      <c r="P95" s="14"/>
      <c r="Q95" s="7"/>
      <c r="R95" s="13" t="s">
        <v>50</v>
      </c>
      <c r="S95" s="7"/>
      <c r="T95" s="15">
        <f t="shared" si="10"/>
      </c>
      <c r="U95" s="13" t="s">
        <v>50</v>
      </c>
      <c r="V95" s="16">
        <f t="shared" si="11"/>
      </c>
      <c r="X95" s="13" t="s">
        <v>51</v>
      </c>
      <c r="Y95" s="13" t="s">
        <v>51</v>
      </c>
      <c r="AA95" s="7" t="s">
        <v>75</v>
      </c>
      <c r="AB95" s="4">
        <v>9</v>
      </c>
    </row>
    <row r="96" spans="2:28" ht="12.75">
      <c r="B96" s="7"/>
      <c r="C96" s="7"/>
      <c r="D96" s="7">
        <f t="shared" si="9"/>
        <v>58</v>
      </c>
      <c r="E96" s="7">
        <v>2</v>
      </c>
      <c r="F96" s="11" t="s">
        <v>29</v>
      </c>
      <c r="G96" s="7">
        <v>14</v>
      </c>
      <c r="H96" s="12" t="str">
        <f ca="1" t="shared" si="6"/>
        <v>TV Freiburg St. Georgen</v>
      </c>
      <c r="I96" s="13" t="s">
        <v>49</v>
      </c>
      <c r="J96" s="11" t="s">
        <v>29</v>
      </c>
      <c r="K96" s="7">
        <v>15</v>
      </c>
      <c r="L96" s="12" t="str">
        <f ca="1" t="shared" si="7"/>
        <v>Vegesacker TV</v>
      </c>
      <c r="M96" s="11" t="s">
        <v>29</v>
      </c>
      <c r="N96" s="7">
        <v>11</v>
      </c>
      <c r="O96" s="12" t="str">
        <f ca="1" t="shared" si="8"/>
        <v>TV Hochneukirch</v>
      </c>
      <c r="P96" s="14"/>
      <c r="Q96" s="7"/>
      <c r="R96" s="13" t="s">
        <v>50</v>
      </c>
      <c r="S96" s="7"/>
      <c r="T96" s="15">
        <f t="shared" si="10"/>
      </c>
      <c r="U96" s="13" t="s">
        <v>50</v>
      </c>
      <c r="V96" s="16">
        <f t="shared" si="11"/>
      </c>
      <c r="X96" s="13" t="s">
        <v>51</v>
      </c>
      <c r="Y96" s="13" t="s">
        <v>51</v>
      </c>
      <c r="AA96" s="7" t="s">
        <v>75</v>
      </c>
      <c r="AB96" s="4">
        <v>9</v>
      </c>
    </row>
    <row r="97" spans="2:28" ht="12.75">
      <c r="B97" s="7"/>
      <c r="C97" s="7"/>
      <c r="D97" s="7">
        <f t="shared" si="9"/>
        <v>59</v>
      </c>
      <c r="E97" s="7">
        <v>3</v>
      </c>
      <c r="F97" s="11" t="s">
        <v>31</v>
      </c>
      <c r="G97" s="7">
        <v>4</v>
      </c>
      <c r="H97" s="12" t="str">
        <f ca="1" t="shared" si="6"/>
        <v>MTV Jahn Schladen</v>
      </c>
      <c r="I97" s="13" t="s">
        <v>49</v>
      </c>
      <c r="J97" s="11" t="s">
        <v>31</v>
      </c>
      <c r="K97" s="7">
        <v>5</v>
      </c>
      <c r="L97" s="12" t="str">
        <f ca="1" t="shared" si="7"/>
        <v>TV Huchenfeld</v>
      </c>
      <c r="M97" s="11" t="s">
        <v>31</v>
      </c>
      <c r="N97" s="7">
        <v>1</v>
      </c>
      <c r="O97" s="12" t="str">
        <f ca="1" t="shared" si="8"/>
        <v>TuS Meinerzhagen</v>
      </c>
      <c r="P97" s="14"/>
      <c r="Q97" s="7"/>
      <c r="R97" s="13" t="s">
        <v>50</v>
      </c>
      <c r="S97" s="7"/>
      <c r="T97" s="15">
        <f t="shared" si="10"/>
      </c>
      <c r="U97" s="13" t="s">
        <v>50</v>
      </c>
      <c r="V97" s="16">
        <f t="shared" si="11"/>
      </c>
      <c r="X97" s="13" t="s">
        <v>51</v>
      </c>
      <c r="Y97" s="13" t="s">
        <v>51</v>
      </c>
      <c r="AA97" s="7" t="s">
        <v>75</v>
      </c>
      <c r="AB97" s="4">
        <v>10</v>
      </c>
    </row>
    <row r="98" spans="2:28" ht="12.75">
      <c r="B98" s="17"/>
      <c r="C98" s="17"/>
      <c r="D98" s="17">
        <f t="shared" si="9"/>
        <v>60</v>
      </c>
      <c r="E98" s="17">
        <v>4</v>
      </c>
      <c r="F98" s="18" t="s">
        <v>31</v>
      </c>
      <c r="G98" s="17">
        <v>14</v>
      </c>
      <c r="H98" s="19" t="str">
        <f ca="1" t="shared" si="6"/>
        <v>TSV Ludwigshafen</v>
      </c>
      <c r="I98" s="20" t="s">
        <v>49</v>
      </c>
      <c r="J98" s="18" t="s">
        <v>31</v>
      </c>
      <c r="K98" s="17">
        <v>15</v>
      </c>
      <c r="L98" s="19" t="str">
        <f ca="1" t="shared" si="7"/>
        <v>TuS Concordia Hülsede</v>
      </c>
      <c r="M98" s="18" t="s">
        <v>31</v>
      </c>
      <c r="N98" s="17">
        <v>11</v>
      </c>
      <c r="O98" s="19" t="str">
        <f ca="1" t="shared" si="8"/>
        <v>Linden-Dahlhauser TV</v>
      </c>
      <c r="P98" s="21"/>
      <c r="Q98" s="17"/>
      <c r="R98" s="20" t="s">
        <v>50</v>
      </c>
      <c r="S98" s="17"/>
      <c r="T98" s="22">
        <f t="shared" si="10"/>
      </c>
      <c r="U98" s="20" t="s">
        <v>50</v>
      </c>
      <c r="V98" s="23">
        <f t="shared" si="11"/>
      </c>
      <c r="X98" s="20" t="s">
        <v>51</v>
      </c>
      <c r="Y98" s="20" t="s">
        <v>51</v>
      </c>
      <c r="AA98" s="7" t="s">
        <v>75</v>
      </c>
      <c r="AB98" s="4">
        <v>10</v>
      </c>
    </row>
    <row r="99" spans="2:28" ht="12.75">
      <c r="B99" s="7">
        <f>+B95+1</f>
        <v>16</v>
      </c>
      <c r="C99" s="10">
        <v>0.6701388888888892</v>
      </c>
      <c r="D99" s="7">
        <f t="shared" si="9"/>
        <v>61</v>
      </c>
      <c r="E99" s="7">
        <v>1</v>
      </c>
      <c r="F99" s="11" t="s">
        <v>29</v>
      </c>
      <c r="G99" s="7">
        <v>1</v>
      </c>
      <c r="H99" s="12" t="str">
        <f ca="1" t="shared" si="6"/>
        <v>TV Berkenbaum</v>
      </c>
      <c r="I99" s="13" t="s">
        <v>49</v>
      </c>
      <c r="J99" s="11" t="s">
        <v>29</v>
      </c>
      <c r="K99" s="7">
        <v>3</v>
      </c>
      <c r="L99" s="12" t="str">
        <f ca="1" t="shared" si="7"/>
        <v>TV Baden</v>
      </c>
      <c r="M99" s="11" t="s">
        <v>29</v>
      </c>
      <c r="N99" s="7">
        <v>2</v>
      </c>
      <c r="O99" s="12" t="str">
        <f ca="1" t="shared" si="8"/>
        <v>TV Frisch-Auf Altenbochum</v>
      </c>
      <c r="P99" s="14"/>
      <c r="Q99" s="7"/>
      <c r="R99" s="13" t="s">
        <v>50</v>
      </c>
      <c r="S99" s="7"/>
      <c r="T99" s="15">
        <f t="shared" si="10"/>
      </c>
      <c r="U99" s="13" t="s">
        <v>50</v>
      </c>
      <c r="V99" s="16">
        <f t="shared" si="11"/>
      </c>
      <c r="X99" s="13" t="s">
        <v>51</v>
      </c>
      <c r="Y99" s="13" t="s">
        <v>51</v>
      </c>
      <c r="AA99" s="7" t="s">
        <v>75</v>
      </c>
      <c r="AB99" s="4">
        <v>11</v>
      </c>
    </row>
    <row r="100" spans="2:28" ht="12.75">
      <c r="B100" s="7"/>
      <c r="C100" s="7"/>
      <c r="D100" s="7">
        <f t="shared" si="9"/>
        <v>62</v>
      </c>
      <c r="E100" s="7">
        <v>2</v>
      </c>
      <c r="F100" s="11" t="s">
        <v>29</v>
      </c>
      <c r="G100" s="7">
        <v>11</v>
      </c>
      <c r="H100" s="12" t="str">
        <f ca="1" t="shared" si="6"/>
        <v>TV Hochneukirch</v>
      </c>
      <c r="I100" s="13" t="s">
        <v>49</v>
      </c>
      <c r="J100" s="11" t="s">
        <v>29</v>
      </c>
      <c r="K100" s="7">
        <v>13</v>
      </c>
      <c r="L100" s="12" t="str">
        <f ca="1" t="shared" si="7"/>
        <v>TSV Babenhausen</v>
      </c>
      <c r="M100" s="11" t="s">
        <v>29</v>
      </c>
      <c r="N100" s="7">
        <v>12</v>
      </c>
      <c r="O100" s="12" t="str">
        <f ca="1" t="shared" si="8"/>
        <v>TV Hemer</v>
      </c>
      <c r="P100" s="14"/>
      <c r="Q100" s="7"/>
      <c r="R100" s="13" t="s">
        <v>50</v>
      </c>
      <c r="S100" s="7"/>
      <c r="T100" s="15">
        <f t="shared" si="10"/>
      </c>
      <c r="U100" s="13" t="s">
        <v>50</v>
      </c>
      <c r="V100" s="16">
        <f t="shared" si="11"/>
      </c>
      <c r="X100" s="13" t="s">
        <v>51</v>
      </c>
      <c r="Y100" s="13" t="s">
        <v>51</v>
      </c>
      <c r="AA100" s="7" t="s">
        <v>75</v>
      </c>
      <c r="AB100" s="4">
        <v>11</v>
      </c>
    </row>
    <row r="101" spans="2:28" ht="12.75">
      <c r="B101" s="7"/>
      <c r="C101" s="7"/>
      <c r="D101" s="7">
        <f t="shared" si="9"/>
        <v>63</v>
      </c>
      <c r="E101" s="7">
        <v>3</v>
      </c>
      <c r="F101" s="11" t="s">
        <v>31</v>
      </c>
      <c r="G101" s="7">
        <v>1</v>
      </c>
      <c r="H101" s="12" t="str">
        <f ca="1" t="shared" si="6"/>
        <v>TuS Meinerzhagen</v>
      </c>
      <c r="I101" s="13" t="s">
        <v>49</v>
      </c>
      <c r="J101" s="11" t="s">
        <v>31</v>
      </c>
      <c r="K101" s="7">
        <v>3</v>
      </c>
      <c r="L101" s="12" t="str">
        <f ca="1" t="shared" si="7"/>
        <v>Vegesacker TV</v>
      </c>
      <c r="M101" s="11" t="s">
        <v>31</v>
      </c>
      <c r="N101" s="7">
        <v>2</v>
      </c>
      <c r="O101" s="12" t="str">
        <f ca="1" t="shared" si="8"/>
        <v>ATV Bad Honnef-Selhof</v>
      </c>
      <c r="P101" s="14"/>
      <c r="Q101" s="7"/>
      <c r="R101" s="13" t="s">
        <v>50</v>
      </c>
      <c r="S101" s="7"/>
      <c r="T101" s="15">
        <f t="shared" si="10"/>
      </c>
      <c r="U101" s="13" t="s">
        <v>50</v>
      </c>
      <c r="V101" s="16">
        <f t="shared" si="11"/>
      </c>
      <c r="X101" s="13" t="s">
        <v>51</v>
      </c>
      <c r="Y101" s="13" t="s">
        <v>51</v>
      </c>
      <c r="AA101" s="7" t="s">
        <v>75</v>
      </c>
      <c r="AB101" s="4">
        <v>12</v>
      </c>
    </row>
    <row r="102" spans="2:28" ht="12.75">
      <c r="B102" s="17"/>
      <c r="C102" s="17"/>
      <c r="D102" s="17">
        <f t="shared" si="9"/>
        <v>64</v>
      </c>
      <c r="E102" s="17">
        <v>4</v>
      </c>
      <c r="F102" s="18" t="s">
        <v>31</v>
      </c>
      <c r="G102" s="17">
        <v>11</v>
      </c>
      <c r="H102" s="19" t="str">
        <f ca="1" t="shared" si="6"/>
        <v>Linden-Dahlhauser TV</v>
      </c>
      <c r="I102" s="20" t="s">
        <v>49</v>
      </c>
      <c r="J102" s="18" t="s">
        <v>31</v>
      </c>
      <c r="K102" s="17">
        <v>13</v>
      </c>
      <c r="L102" s="19" t="str">
        <f ca="1" t="shared" si="7"/>
        <v>VfL Waiblingen</v>
      </c>
      <c r="M102" s="18" t="s">
        <v>31</v>
      </c>
      <c r="N102" s="17">
        <v>12</v>
      </c>
      <c r="O102" s="19" t="str">
        <f ca="1" t="shared" si="8"/>
        <v>TV Jahn Bad Lippspringe</v>
      </c>
      <c r="P102" s="21"/>
      <c r="Q102" s="17"/>
      <c r="R102" s="20" t="s">
        <v>50</v>
      </c>
      <c r="S102" s="17"/>
      <c r="T102" s="22">
        <f t="shared" si="10"/>
      </c>
      <c r="U102" s="20" t="s">
        <v>50</v>
      </c>
      <c r="V102" s="23">
        <f t="shared" si="11"/>
      </c>
      <c r="X102" s="20" t="s">
        <v>51</v>
      </c>
      <c r="Y102" s="20" t="s">
        <v>51</v>
      </c>
      <c r="AA102" s="7" t="s">
        <v>75</v>
      </c>
      <c r="AB102" s="4">
        <v>12</v>
      </c>
    </row>
    <row r="103" spans="2:28" ht="12.75">
      <c r="B103" s="7">
        <f>+B99+1</f>
        <v>17</v>
      </c>
      <c r="C103" s="10">
        <v>0.6875</v>
      </c>
      <c r="D103" s="7">
        <f t="shared" si="9"/>
        <v>65</v>
      </c>
      <c r="E103" s="7">
        <v>1</v>
      </c>
      <c r="F103" s="11" t="s">
        <v>29</v>
      </c>
      <c r="G103" s="7">
        <v>2</v>
      </c>
      <c r="H103" s="12" t="str">
        <f ca="1" t="shared" si="6"/>
        <v>TV Frisch-Auf Altenbochum</v>
      </c>
      <c r="I103" s="13" t="s">
        <v>49</v>
      </c>
      <c r="J103" s="11" t="s">
        <v>29</v>
      </c>
      <c r="K103" s="7">
        <v>4</v>
      </c>
      <c r="L103" s="12" t="str">
        <f ca="1" t="shared" si="7"/>
        <v>TV Sottrum</v>
      </c>
      <c r="M103" s="11" t="s">
        <v>29</v>
      </c>
      <c r="N103" s="7">
        <v>5</v>
      </c>
      <c r="O103" s="12" t="str">
        <f ca="1" t="shared" si="8"/>
        <v>VfL Waiblingen</v>
      </c>
      <c r="P103" s="14"/>
      <c r="Q103" s="7"/>
      <c r="R103" s="13" t="s">
        <v>50</v>
      </c>
      <c r="S103" s="7"/>
      <c r="T103" s="15">
        <f t="shared" si="10"/>
      </c>
      <c r="U103" s="13" t="s">
        <v>50</v>
      </c>
      <c r="V103" s="16">
        <f t="shared" si="11"/>
      </c>
      <c r="X103" s="13" t="s">
        <v>51</v>
      </c>
      <c r="Y103" s="13" t="s">
        <v>51</v>
      </c>
      <c r="AA103" s="7" t="s">
        <v>75</v>
      </c>
      <c r="AB103" s="4">
        <v>13</v>
      </c>
    </row>
    <row r="104" spans="2:28" ht="12.75">
      <c r="B104" s="7"/>
      <c r="C104" s="7"/>
      <c r="D104" s="7">
        <f t="shared" si="9"/>
        <v>66</v>
      </c>
      <c r="E104" s="7">
        <v>2</v>
      </c>
      <c r="F104" s="11" t="s">
        <v>29</v>
      </c>
      <c r="G104" s="7">
        <v>12</v>
      </c>
      <c r="H104" s="12" t="str">
        <f ca="1" t="shared" si="6"/>
        <v>TV Hemer</v>
      </c>
      <c r="I104" s="13" t="s">
        <v>49</v>
      </c>
      <c r="J104" s="11" t="s">
        <v>29</v>
      </c>
      <c r="K104" s="7">
        <v>14</v>
      </c>
      <c r="L104" s="12" t="str">
        <f ca="1" t="shared" si="7"/>
        <v>TV Freiburg St. Georgen</v>
      </c>
      <c r="M104" s="11" t="s">
        <v>29</v>
      </c>
      <c r="N104" s="7">
        <v>15</v>
      </c>
      <c r="O104" s="12" t="str">
        <f ca="1" t="shared" si="8"/>
        <v>Vegesacker TV</v>
      </c>
      <c r="P104" s="14"/>
      <c r="Q104" s="7"/>
      <c r="R104" s="13" t="s">
        <v>50</v>
      </c>
      <c r="S104" s="7"/>
      <c r="T104" s="15">
        <f t="shared" si="10"/>
      </c>
      <c r="U104" s="13" t="s">
        <v>50</v>
      </c>
      <c r="V104" s="16">
        <f t="shared" si="11"/>
      </c>
      <c r="X104" s="13" t="s">
        <v>51</v>
      </c>
      <c r="Y104" s="13" t="s">
        <v>51</v>
      </c>
      <c r="AA104" s="7" t="s">
        <v>75</v>
      </c>
      <c r="AB104" s="4">
        <v>13</v>
      </c>
    </row>
    <row r="105" spans="2:28" ht="12.75">
      <c r="B105" s="7"/>
      <c r="C105" s="7"/>
      <c r="D105" s="7">
        <f t="shared" si="9"/>
        <v>67</v>
      </c>
      <c r="E105" s="7">
        <v>3</v>
      </c>
      <c r="F105" s="11" t="s">
        <v>31</v>
      </c>
      <c r="G105" s="7">
        <v>2</v>
      </c>
      <c r="H105" s="12" t="str">
        <f ca="1" t="shared" si="6"/>
        <v>ATV Bad Honnef-Selhof</v>
      </c>
      <c r="I105" s="13" t="s">
        <v>49</v>
      </c>
      <c r="J105" s="11" t="s">
        <v>31</v>
      </c>
      <c r="K105" s="7">
        <v>4</v>
      </c>
      <c r="L105" s="12" t="str">
        <f ca="1" t="shared" si="7"/>
        <v>MTV Jahn Schladen</v>
      </c>
      <c r="M105" s="11" t="s">
        <v>31</v>
      </c>
      <c r="N105" s="7">
        <v>5</v>
      </c>
      <c r="O105" s="12" t="str">
        <f ca="1" t="shared" si="8"/>
        <v>TV Huchenfeld</v>
      </c>
      <c r="P105" s="14"/>
      <c r="Q105" s="7"/>
      <c r="R105" s="13" t="s">
        <v>50</v>
      </c>
      <c r="S105" s="7"/>
      <c r="T105" s="15">
        <f t="shared" si="10"/>
      </c>
      <c r="U105" s="13" t="s">
        <v>50</v>
      </c>
      <c r="V105" s="16">
        <f t="shared" si="11"/>
      </c>
      <c r="X105" s="13" t="s">
        <v>51</v>
      </c>
      <c r="Y105" s="13" t="s">
        <v>51</v>
      </c>
      <c r="AA105" s="7" t="s">
        <v>75</v>
      </c>
      <c r="AB105" s="4">
        <v>14</v>
      </c>
    </row>
    <row r="106" spans="2:28" ht="12.75">
      <c r="B106" s="17"/>
      <c r="C106" s="17"/>
      <c r="D106" s="17">
        <f t="shared" si="9"/>
        <v>68</v>
      </c>
      <c r="E106" s="17">
        <v>4</v>
      </c>
      <c r="F106" s="18" t="s">
        <v>31</v>
      </c>
      <c r="G106" s="17">
        <v>12</v>
      </c>
      <c r="H106" s="19" t="str">
        <f ca="1" t="shared" si="6"/>
        <v>TV Jahn Bad Lippspringe</v>
      </c>
      <c r="I106" s="20" t="s">
        <v>49</v>
      </c>
      <c r="J106" s="18" t="s">
        <v>31</v>
      </c>
      <c r="K106" s="17">
        <v>14</v>
      </c>
      <c r="L106" s="19" t="str">
        <f ca="1" t="shared" si="7"/>
        <v>TSV Ludwigshafen</v>
      </c>
      <c r="M106" s="18" t="s">
        <v>31</v>
      </c>
      <c r="N106" s="17">
        <v>15</v>
      </c>
      <c r="O106" s="19" t="str">
        <f ca="1" t="shared" si="8"/>
        <v>TuS Concordia Hülsede</v>
      </c>
      <c r="P106" s="21"/>
      <c r="Q106" s="17"/>
      <c r="R106" s="20" t="s">
        <v>50</v>
      </c>
      <c r="S106" s="17"/>
      <c r="T106" s="22">
        <f t="shared" si="10"/>
      </c>
      <c r="U106" s="20" t="s">
        <v>50</v>
      </c>
      <c r="V106" s="23">
        <f t="shared" si="11"/>
      </c>
      <c r="X106" s="20" t="s">
        <v>51</v>
      </c>
      <c r="Y106" s="20" t="s">
        <v>51</v>
      </c>
      <c r="AA106" s="7" t="s">
        <v>75</v>
      </c>
      <c r="AB106" s="4">
        <v>14</v>
      </c>
    </row>
    <row r="107" spans="2:28" ht="12.75">
      <c r="B107" s="7">
        <f>+B103+1</f>
        <v>18</v>
      </c>
      <c r="C107" s="10">
        <v>0.7048611111111115</v>
      </c>
      <c r="D107" s="7">
        <f t="shared" si="9"/>
        <v>69</v>
      </c>
      <c r="E107" s="7">
        <v>1</v>
      </c>
      <c r="F107" s="11" t="s">
        <v>29</v>
      </c>
      <c r="G107" s="7">
        <v>3</v>
      </c>
      <c r="H107" s="12" t="str">
        <f ca="1" t="shared" si="6"/>
        <v>TV Baden</v>
      </c>
      <c r="I107" s="13" t="s">
        <v>49</v>
      </c>
      <c r="J107" s="11" t="s">
        <v>29</v>
      </c>
      <c r="K107" s="7">
        <v>5</v>
      </c>
      <c r="L107" s="12" t="str">
        <f ca="1" t="shared" si="7"/>
        <v>VfL Waiblingen</v>
      </c>
      <c r="M107" s="11" t="s">
        <v>29</v>
      </c>
      <c r="N107" s="7">
        <v>1</v>
      </c>
      <c r="O107" s="12" t="str">
        <f ca="1" t="shared" si="8"/>
        <v>TV Berkenbaum</v>
      </c>
      <c r="P107" s="14"/>
      <c r="Q107" s="7"/>
      <c r="R107" s="13" t="s">
        <v>50</v>
      </c>
      <c r="S107" s="7"/>
      <c r="T107" s="15">
        <f t="shared" si="10"/>
      </c>
      <c r="U107" s="13" t="s">
        <v>50</v>
      </c>
      <c r="V107" s="16">
        <f t="shared" si="11"/>
      </c>
      <c r="X107" s="13" t="s">
        <v>51</v>
      </c>
      <c r="Y107" s="13" t="s">
        <v>51</v>
      </c>
      <c r="AA107" s="7" t="s">
        <v>75</v>
      </c>
      <c r="AB107" s="4">
        <v>15</v>
      </c>
    </row>
    <row r="108" spans="2:28" ht="12.75">
      <c r="B108" s="7"/>
      <c r="C108" s="7"/>
      <c r="D108" s="7">
        <f t="shared" si="9"/>
        <v>70</v>
      </c>
      <c r="E108" s="7">
        <v>2</v>
      </c>
      <c r="F108" s="11" t="s">
        <v>29</v>
      </c>
      <c r="G108" s="7">
        <v>13</v>
      </c>
      <c r="H108" s="12" t="str">
        <f ca="1" t="shared" si="6"/>
        <v>TSV Babenhausen</v>
      </c>
      <c r="I108" s="13" t="s">
        <v>49</v>
      </c>
      <c r="J108" s="11" t="s">
        <v>29</v>
      </c>
      <c r="K108" s="7">
        <v>15</v>
      </c>
      <c r="L108" s="12" t="str">
        <f ca="1" t="shared" si="7"/>
        <v>Vegesacker TV</v>
      </c>
      <c r="M108" s="11" t="s">
        <v>29</v>
      </c>
      <c r="N108" s="7">
        <v>11</v>
      </c>
      <c r="O108" s="12" t="str">
        <f ca="1" t="shared" si="8"/>
        <v>TV Hochneukirch</v>
      </c>
      <c r="P108" s="14"/>
      <c r="Q108" s="7"/>
      <c r="R108" s="13" t="s">
        <v>50</v>
      </c>
      <c r="S108" s="7"/>
      <c r="T108" s="15">
        <f t="shared" si="10"/>
      </c>
      <c r="U108" s="13" t="s">
        <v>50</v>
      </c>
      <c r="V108" s="16">
        <f t="shared" si="11"/>
      </c>
      <c r="X108" s="13" t="s">
        <v>51</v>
      </c>
      <c r="Y108" s="13" t="s">
        <v>51</v>
      </c>
      <c r="AA108" s="7" t="s">
        <v>75</v>
      </c>
      <c r="AB108" s="4">
        <v>15</v>
      </c>
    </row>
    <row r="109" spans="2:28" ht="12.75">
      <c r="B109" s="7"/>
      <c r="C109" s="7"/>
      <c r="D109" s="7">
        <f t="shared" si="9"/>
        <v>71</v>
      </c>
      <c r="E109" s="7">
        <v>3</v>
      </c>
      <c r="F109" s="11" t="s">
        <v>31</v>
      </c>
      <c r="G109" s="7">
        <v>3</v>
      </c>
      <c r="H109" s="12" t="str">
        <f ca="1" t="shared" si="6"/>
        <v>Vegesacker TV</v>
      </c>
      <c r="I109" s="13" t="s">
        <v>49</v>
      </c>
      <c r="J109" s="11" t="s">
        <v>31</v>
      </c>
      <c r="K109" s="7">
        <v>5</v>
      </c>
      <c r="L109" s="12" t="str">
        <f ca="1" t="shared" si="7"/>
        <v>TV Huchenfeld</v>
      </c>
      <c r="M109" s="11" t="s">
        <v>31</v>
      </c>
      <c r="N109" s="7">
        <v>1</v>
      </c>
      <c r="O109" s="12" t="str">
        <f ca="1" t="shared" si="8"/>
        <v>TuS Meinerzhagen</v>
      </c>
      <c r="P109" s="14"/>
      <c r="Q109" s="7"/>
      <c r="R109" s="13" t="s">
        <v>50</v>
      </c>
      <c r="S109" s="7"/>
      <c r="T109" s="15">
        <f t="shared" si="10"/>
      </c>
      <c r="U109" s="13" t="s">
        <v>50</v>
      </c>
      <c r="V109" s="16">
        <f t="shared" si="11"/>
      </c>
      <c r="X109" s="13" t="s">
        <v>51</v>
      </c>
      <c r="Y109" s="13" t="s">
        <v>51</v>
      </c>
      <c r="AA109" s="7" t="s">
        <v>75</v>
      </c>
      <c r="AB109" s="4">
        <v>16</v>
      </c>
    </row>
    <row r="110" spans="2:28" ht="12.75">
      <c r="B110" s="17"/>
      <c r="C110" s="17"/>
      <c r="D110" s="17">
        <f t="shared" si="9"/>
        <v>72</v>
      </c>
      <c r="E110" s="17">
        <v>4</v>
      </c>
      <c r="F110" s="18" t="s">
        <v>31</v>
      </c>
      <c r="G110" s="17">
        <v>13</v>
      </c>
      <c r="H110" s="19" t="str">
        <f ca="1" t="shared" si="6"/>
        <v>VfL Waiblingen</v>
      </c>
      <c r="I110" s="20" t="s">
        <v>49</v>
      </c>
      <c r="J110" s="18" t="s">
        <v>31</v>
      </c>
      <c r="K110" s="17">
        <v>15</v>
      </c>
      <c r="L110" s="19" t="str">
        <f ca="1" t="shared" si="7"/>
        <v>TuS Concordia Hülsede</v>
      </c>
      <c r="M110" s="18" t="s">
        <v>31</v>
      </c>
      <c r="N110" s="17">
        <v>11</v>
      </c>
      <c r="O110" s="19" t="str">
        <f ca="1" t="shared" si="8"/>
        <v>Linden-Dahlhauser TV</v>
      </c>
      <c r="P110" s="21"/>
      <c r="Q110" s="17"/>
      <c r="R110" s="20" t="s">
        <v>50</v>
      </c>
      <c r="S110" s="17"/>
      <c r="T110" s="22">
        <f t="shared" si="10"/>
      </c>
      <c r="U110" s="20" t="s">
        <v>50</v>
      </c>
      <c r="V110" s="23">
        <f t="shared" si="11"/>
      </c>
      <c r="X110" s="20" t="s">
        <v>51</v>
      </c>
      <c r="Y110" s="20" t="s">
        <v>51</v>
      </c>
      <c r="AA110" s="7" t="s">
        <v>75</v>
      </c>
      <c r="AB110" s="4">
        <v>16</v>
      </c>
    </row>
    <row r="111" spans="2:28" ht="12.75">
      <c r="B111" s="7">
        <f>+B107+1</f>
        <v>19</v>
      </c>
      <c r="C111" s="10">
        <v>0.7222222222222227</v>
      </c>
      <c r="D111" s="7">
        <f t="shared" si="9"/>
        <v>73</v>
      </c>
      <c r="E111" s="7">
        <v>1</v>
      </c>
      <c r="F111" s="11" t="s">
        <v>29</v>
      </c>
      <c r="G111" s="7">
        <v>1</v>
      </c>
      <c r="H111" s="12" t="str">
        <f ca="1" t="shared" si="6"/>
        <v>TV Berkenbaum</v>
      </c>
      <c r="I111" s="13" t="s">
        <v>49</v>
      </c>
      <c r="J111" s="11" t="s">
        <v>29</v>
      </c>
      <c r="K111" s="7">
        <v>4</v>
      </c>
      <c r="L111" s="12" t="str">
        <f ca="1" t="shared" si="7"/>
        <v>TV Sottrum</v>
      </c>
      <c r="M111" s="11" t="s">
        <v>29</v>
      </c>
      <c r="N111" s="7">
        <v>3</v>
      </c>
      <c r="O111" s="12" t="str">
        <f ca="1" t="shared" si="8"/>
        <v>TV Baden</v>
      </c>
      <c r="P111" s="14"/>
      <c r="Q111" s="7"/>
      <c r="R111" s="13" t="s">
        <v>50</v>
      </c>
      <c r="S111" s="7"/>
      <c r="T111" s="15">
        <f t="shared" si="10"/>
      </c>
      <c r="U111" s="13" t="s">
        <v>50</v>
      </c>
      <c r="V111" s="16">
        <f t="shared" si="11"/>
      </c>
      <c r="X111" s="13" t="s">
        <v>51</v>
      </c>
      <c r="Y111" s="13" t="s">
        <v>51</v>
      </c>
      <c r="AA111" s="7" t="s">
        <v>75</v>
      </c>
      <c r="AB111" s="4">
        <v>17</v>
      </c>
    </row>
    <row r="112" spans="2:28" ht="12.75">
      <c r="B112" s="7"/>
      <c r="C112" s="7"/>
      <c r="D112" s="7">
        <f t="shared" si="9"/>
        <v>74</v>
      </c>
      <c r="E112" s="7">
        <v>2</v>
      </c>
      <c r="F112" s="11" t="s">
        <v>29</v>
      </c>
      <c r="G112" s="7">
        <v>11</v>
      </c>
      <c r="H112" s="12" t="str">
        <f ca="1" t="shared" si="6"/>
        <v>TV Hochneukirch</v>
      </c>
      <c r="I112" s="13" t="s">
        <v>49</v>
      </c>
      <c r="J112" s="11" t="s">
        <v>29</v>
      </c>
      <c r="K112" s="7">
        <v>14</v>
      </c>
      <c r="L112" s="12" t="str">
        <f ca="1" t="shared" si="7"/>
        <v>TV Freiburg St. Georgen</v>
      </c>
      <c r="M112" s="11" t="s">
        <v>29</v>
      </c>
      <c r="N112" s="7">
        <v>13</v>
      </c>
      <c r="O112" s="12" t="str">
        <f ca="1" t="shared" si="8"/>
        <v>TSV Babenhausen</v>
      </c>
      <c r="P112" s="14"/>
      <c r="Q112" s="7"/>
      <c r="R112" s="13" t="s">
        <v>50</v>
      </c>
      <c r="S112" s="7"/>
      <c r="T112" s="15">
        <f t="shared" si="10"/>
      </c>
      <c r="U112" s="13" t="s">
        <v>50</v>
      </c>
      <c r="V112" s="16">
        <f t="shared" si="11"/>
      </c>
      <c r="X112" s="13" t="s">
        <v>51</v>
      </c>
      <c r="Y112" s="13" t="s">
        <v>51</v>
      </c>
      <c r="AA112" s="7" t="s">
        <v>75</v>
      </c>
      <c r="AB112" s="4">
        <v>17</v>
      </c>
    </row>
    <row r="113" spans="2:28" ht="12.75">
      <c r="B113" s="7"/>
      <c r="C113" s="7"/>
      <c r="D113" s="7">
        <f t="shared" si="9"/>
        <v>75</v>
      </c>
      <c r="E113" s="7">
        <v>3</v>
      </c>
      <c r="F113" s="11" t="s">
        <v>31</v>
      </c>
      <c r="G113" s="7">
        <v>1</v>
      </c>
      <c r="H113" s="12" t="str">
        <f ca="1" t="shared" si="6"/>
        <v>TuS Meinerzhagen</v>
      </c>
      <c r="I113" s="13" t="s">
        <v>49</v>
      </c>
      <c r="J113" s="11" t="s">
        <v>31</v>
      </c>
      <c r="K113" s="7">
        <v>4</v>
      </c>
      <c r="L113" s="12" t="str">
        <f ca="1" t="shared" si="7"/>
        <v>MTV Jahn Schladen</v>
      </c>
      <c r="M113" s="11" t="s">
        <v>31</v>
      </c>
      <c r="N113" s="7">
        <v>3</v>
      </c>
      <c r="O113" s="12" t="str">
        <f ca="1" t="shared" si="8"/>
        <v>Vegesacker TV</v>
      </c>
      <c r="P113" s="14"/>
      <c r="Q113" s="7"/>
      <c r="R113" s="13" t="s">
        <v>50</v>
      </c>
      <c r="S113" s="7"/>
      <c r="T113" s="15">
        <f t="shared" si="10"/>
      </c>
      <c r="U113" s="13" t="s">
        <v>50</v>
      </c>
      <c r="V113" s="16">
        <f t="shared" si="11"/>
      </c>
      <c r="X113" s="13" t="s">
        <v>51</v>
      </c>
      <c r="Y113" s="13" t="s">
        <v>51</v>
      </c>
      <c r="AA113" s="7" t="s">
        <v>75</v>
      </c>
      <c r="AB113" s="4">
        <v>18</v>
      </c>
    </row>
    <row r="114" spans="2:28" ht="12.75">
      <c r="B114" s="17"/>
      <c r="C114" s="17"/>
      <c r="D114" s="17">
        <f t="shared" si="9"/>
        <v>76</v>
      </c>
      <c r="E114" s="17">
        <v>4</v>
      </c>
      <c r="F114" s="18" t="s">
        <v>31</v>
      </c>
      <c r="G114" s="17">
        <v>11</v>
      </c>
      <c r="H114" s="19" t="str">
        <f ca="1" t="shared" si="6"/>
        <v>Linden-Dahlhauser TV</v>
      </c>
      <c r="I114" s="20" t="s">
        <v>49</v>
      </c>
      <c r="J114" s="18" t="s">
        <v>31</v>
      </c>
      <c r="K114" s="17">
        <v>14</v>
      </c>
      <c r="L114" s="19" t="str">
        <f ca="1" t="shared" si="7"/>
        <v>TSV Ludwigshafen</v>
      </c>
      <c r="M114" s="18" t="s">
        <v>31</v>
      </c>
      <c r="N114" s="17">
        <v>13</v>
      </c>
      <c r="O114" s="19" t="str">
        <f ca="1" t="shared" si="8"/>
        <v>VfL Waiblingen</v>
      </c>
      <c r="P114" s="21"/>
      <c r="Q114" s="17"/>
      <c r="R114" s="20" t="s">
        <v>50</v>
      </c>
      <c r="S114" s="17"/>
      <c r="T114" s="22">
        <f t="shared" si="10"/>
      </c>
      <c r="U114" s="20" t="s">
        <v>50</v>
      </c>
      <c r="V114" s="23">
        <f t="shared" si="11"/>
      </c>
      <c r="X114" s="20" t="s">
        <v>51</v>
      </c>
      <c r="Y114" s="20" t="s">
        <v>51</v>
      </c>
      <c r="AA114" s="7" t="s">
        <v>75</v>
      </c>
      <c r="AB114" s="4">
        <v>18</v>
      </c>
    </row>
    <row r="115" spans="2:28" ht="12.75">
      <c r="B115" s="7">
        <f>+B111+1</f>
        <v>20</v>
      </c>
      <c r="C115" s="10">
        <v>0.7395833333333338</v>
      </c>
      <c r="D115" s="7">
        <f t="shared" si="9"/>
        <v>77</v>
      </c>
      <c r="E115" s="7">
        <v>1</v>
      </c>
      <c r="F115" s="11" t="s">
        <v>29</v>
      </c>
      <c r="G115" s="7">
        <v>2</v>
      </c>
      <c r="H115" s="12" t="str">
        <f ca="1" t="shared" si="6"/>
        <v>TV Frisch-Auf Altenbochum</v>
      </c>
      <c r="I115" s="13" t="s">
        <v>49</v>
      </c>
      <c r="J115" s="11" t="s">
        <v>29</v>
      </c>
      <c r="K115" s="7">
        <v>5</v>
      </c>
      <c r="L115" s="12" t="str">
        <f ca="1" t="shared" si="7"/>
        <v>VfL Waiblingen</v>
      </c>
      <c r="M115" s="11" t="s">
        <v>29</v>
      </c>
      <c r="N115" s="7">
        <v>4</v>
      </c>
      <c r="O115" s="12" t="str">
        <f ca="1" t="shared" si="8"/>
        <v>TV Sottrum</v>
      </c>
      <c r="P115" s="14"/>
      <c r="Q115" s="7"/>
      <c r="R115" s="13" t="s">
        <v>50</v>
      </c>
      <c r="S115" s="7"/>
      <c r="T115" s="15">
        <f t="shared" si="10"/>
      </c>
      <c r="U115" s="13" t="s">
        <v>50</v>
      </c>
      <c r="V115" s="16">
        <f t="shared" si="11"/>
      </c>
      <c r="X115" s="13" t="s">
        <v>51</v>
      </c>
      <c r="Y115" s="13" t="s">
        <v>51</v>
      </c>
      <c r="AA115" s="7" t="s">
        <v>75</v>
      </c>
      <c r="AB115" s="4">
        <v>19</v>
      </c>
    </row>
    <row r="116" spans="2:28" ht="12.75">
      <c r="B116" s="7"/>
      <c r="C116" s="7"/>
      <c r="D116" s="7">
        <f t="shared" si="9"/>
        <v>78</v>
      </c>
      <c r="E116" s="7">
        <v>2</v>
      </c>
      <c r="F116" s="11" t="s">
        <v>29</v>
      </c>
      <c r="G116" s="7">
        <v>12</v>
      </c>
      <c r="H116" s="12" t="str">
        <f ca="1" t="shared" si="6"/>
        <v>TV Hemer</v>
      </c>
      <c r="I116" s="13" t="s">
        <v>49</v>
      </c>
      <c r="J116" s="11" t="s">
        <v>29</v>
      </c>
      <c r="K116" s="7">
        <v>15</v>
      </c>
      <c r="L116" s="12" t="str">
        <f ca="1" t="shared" si="7"/>
        <v>Vegesacker TV</v>
      </c>
      <c r="M116" s="11" t="s">
        <v>29</v>
      </c>
      <c r="N116" s="7">
        <v>14</v>
      </c>
      <c r="O116" s="12" t="str">
        <f ca="1" t="shared" si="8"/>
        <v>TV Freiburg St. Georgen</v>
      </c>
      <c r="P116" s="14"/>
      <c r="Q116" s="7"/>
      <c r="R116" s="13" t="s">
        <v>50</v>
      </c>
      <c r="S116" s="7"/>
      <c r="T116" s="15">
        <f t="shared" si="10"/>
      </c>
      <c r="U116" s="13" t="s">
        <v>50</v>
      </c>
      <c r="V116" s="16">
        <f t="shared" si="11"/>
      </c>
      <c r="X116" s="13" t="s">
        <v>51</v>
      </c>
      <c r="Y116" s="13" t="s">
        <v>51</v>
      </c>
      <c r="AA116" s="7" t="s">
        <v>75</v>
      </c>
      <c r="AB116" s="4">
        <v>19</v>
      </c>
    </row>
    <row r="117" spans="2:28" ht="12.75">
      <c r="B117" s="7"/>
      <c r="C117" s="7"/>
      <c r="D117" s="7">
        <f t="shared" si="9"/>
        <v>79</v>
      </c>
      <c r="E117" s="7">
        <v>3</v>
      </c>
      <c r="F117" s="11" t="s">
        <v>31</v>
      </c>
      <c r="G117" s="7">
        <v>2</v>
      </c>
      <c r="H117" s="12" t="str">
        <f ca="1" t="shared" si="6"/>
        <v>ATV Bad Honnef-Selhof</v>
      </c>
      <c r="I117" s="13" t="s">
        <v>49</v>
      </c>
      <c r="J117" s="11" t="s">
        <v>31</v>
      </c>
      <c r="K117" s="7">
        <v>5</v>
      </c>
      <c r="L117" s="12" t="str">
        <f ca="1" t="shared" si="7"/>
        <v>TV Huchenfeld</v>
      </c>
      <c r="M117" s="11" t="s">
        <v>31</v>
      </c>
      <c r="N117" s="7">
        <v>4</v>
      </c>
      <c r="O117" s="12" t="str">
        <f ca="1" t="shared" si="8"/>
        <v>MTV Jahn Schladen</v>
      </c>
      <c r="P117" s="14"/>
      <c r="Q117" s="7"/>
      <c r="R117" s="13" t="s">
        <v>50</v>
      </c>
      <c r="S117" s="7"/>
      <c r="T117" s="15">
        <f t="shared" si="10"/>
      </c>
      <c r="U117" s="13" t="s">
        <v>50</v>
      </c>
      <c r="V117" s="16">
        <f t="shared" si="11"/>
      </c>
      <c r="X117" s="13" t="s">
        <v>51</v>
      </c>
      <c r="Y117" s="13" t="s">
        <v>51</v>
      </c>
      <c r="AA117" s="7" t="s">
        <v>75</v>
      </c>
      <c r="AB117" s="4">
        <v>20</v>
      </c>
    </row>
    <row r="118" spans="2:28" ht="12.75">
      <c r="B118" s="17"/>
      <c r="C118" s="17"/>
      <c r="D118" s="17">
        <f t="shared" si="9"/>
        <v>80</v>
      </c>
      <c r="E118" s="17">
        <v>4</v>
      </c>
      <c r="F118" s="18" t="s">
        <v>31</v>
      </c>
      <c r="G118" s="17">
        <v>12</v>
      </c>
      <c r="H118" s="19" t="str">
        <f ca="1" t="shared" si="6"/>
        <v>TV Jahn Bad Lippspringe</v>
      </c>
      <c r="I118" s="20" t="s">
        <v>49</v>
      </c>
      <c r="J118" s="18" t="s">
        <v>31</v>
      </c>
      <c r="K118" s="17">
        <v>15</v>
      </c>
      <c r="L118" s="19" t="str">
        <f ca="1" t="shared" si="7"/>
        <v>TuS Concordia Hülsede</v>
      </c>
      <c r="M118" s="18" t="s">
        <v>31</v>
      </c>
      <c r="N118" s="17">
        <v>14</v>
      </c>
      <c r="O118" s="19" t="str">
        <f ca="1" t="shared" si="8"/>
        <v>TSV Ludwigshafen</v>
      </c>
      <c r="P118" s="21"/>
      <c r="Q118" s="17"/>
      <c r="R118" s="20" t="s">
        <v>50</v>
      </c>
      <c r="S118" s="17"/>
      <c r="T118" s="22">
        <f t="shared" si="10"/>
      </c>
      <c r="U118" s="20" t="s">
        <v>50</v>
      </c>
      <c r="V118" s="23">
        <f t="shared" si="11"/>
      </c>
      <c r="X118" s="20" t="s">
        <v>51</v>
      </c>
      <c r="Y118" s="20" t="s">
        <v>51</v>
      </c>
      <c r="AA118" s="7" t="s">
        <v>75</v>
      </c>
      <c r="AB118" s="4">
        <v>20</v>
      </c>
    </row>
    <row r="119" spans="2:27" ht="12.75" hidden="1" outlineLevel="1">
      <c r="B119" s="24" t="s">
        <v>76</v>
      </c>
      <c r="C119" s="24"/>
      <c r="D119" s="24" t="s">
        <v>77</v>
      </c>
      <c r="E119" s="7">
        <v>1</v>
      </c>
      <c r="F119" s="25"/>
      <c r="G119" s="24"/>
      <c r="H119" s="12"/>
      <c r="I119" s="13" t="s">
        <v>49</v>
      </c>
      <c r="J119" s="25"/>
      <c r="K119" s="24"/>
      <c r="L119" s="12"/>
      <c r="M119" s="25"/>
      <c r="N119" s="24"/>
      <c r="O119" s="12"/>
      <c r="P119" s="26"/>
      <c r="Q119" s="7"/>
      <c r="R119" s="13" t="s">
        <v>50</v>
      </c>
      <c r="S119" s="7"/>
      <c r="T119" s="15">
        <f>IF(Q119="","",IF(Q119&gt;S119,2,IF(Q119&lt;S119,0,1)))</f>
      </c>
      <c r="U119" s="13" t="s">
        <v>50</v>
      </c>
      <c r="V119" s="16">
        <f t="shared" si="11"/>
      </c>
      <c r="X119" s="13" t="s">
        <v>51</v>
      </c>
      <c r="Y119" s="13" t="s">
        <v>51</v>
      </c>
      <c r="AA119" s="7" t="s">
        <v>78</v>
      </c>
    </row>
    <row r="120" spans="2:27" ht="12.75" hidden="1" outlineLevel="1">
      <c r="B120" s="24" t="s">
        <v>56</v>
      </c>
      <c r="C120" s="24"/>
      <c r="D120" s="24" t="s">
        <v>79</v>
      </c>
      <c r="E120" s="7">
        <v>2</v>
      </c>
      <c r="F120" s="25"/>
      <c r="G120" s="24"/>
      <c r="H120" s="12"/>
      <c r="I120" s="13" t="s">
        <v>49</v>
      </c>
      <c r="J120" s="25"/>
      <c r="K120" s="24"/>
      <c r="L120" s="12"/>
      <c r="M120" s="25"/>
      <c r="N120" s="24"/>
      <c r="O120" s="12"/>
      <c r="P120" s="26"/>
      <c r="Q120" s="7"/>
      <c r="R120" s="13" t="s">
        <v>50</v>
      </c>
      <c r="S120" s="7"/>
      <c r="T120" s="7"/>
      <c r="U120" s="13" t="s">
        <v>50</v>
      </c>
      <c r="V120" s="7"/>
      <c r="X120" s="13" t="s">
        <v>51</v>
      </c>
      <c r="Y120" s="13" t="s">
        <v>51</v>
      </c>
      <c r="AA120" s="7" t="s">
        <v>78</v>
      </c>
    </row>
    <row r="121" spans="2:27" ht="12.75" hidden="1" outlineLevel="1">
      <c r="B121" s="24"/>
      <c r="C121" s="24"/>
      <c r="D121" s="24" t="s">
        <v>80</v>
      </c>
      <c r="E121" s="7">
        <v>3</v>
      </c>
      <c r="F121" s="25"/>
      <c r="G121" s="24"/>
      <c r="H121" s="12"/>
      <c r="I121" s="13" t="s">
        <v>49</v>
      </c>
      <c r="J121" s="25"/>
      <c r="K121" s="24"/>
      <c r="L121" s="12"/>
      <c r="M121" s="25"/>
      <c r="N121" s="24"/>
      <c r="O121" s="12"/>
      <c r="P121" s="26"/>
      <c r="Q121" s="7"/>
      <c r="R121" s="13" t="s">
        <v>50</v>
      </c>
      <c r="S121" s="7"/>
      <c r="T121" s="7"/>
      <c r="U121" s="13" t="s">
        <v>50</v>
      </c>
      <c r="V121" s="7"/>
      <c r="X121" s="13" t="s">
        <v>51</v>
      </c>
      <c r="Y121" s="13" t="s">
        <v>51</v>
      </c>
      <c r="AA121" s="7" t="s">
        <v>78</v>
      </c>
    </row>
    <row r="122" spans="2:27" ht="12.75" hidden="1" outlineLevel="1">
      <c r="B122" s="17"/>
      <c r="C122" s="17"/>
      <c r="D122" s="17" t="s">
        <v>81</v>
      </c>
      <c r="E122" s="17">
        <v>4</v>
      </c>
      <c r="F122" s="18"/>
      <c r="G122" s="17"/>
      <c r="H122" s="19"/>
      <c r="I122" s="20" t="s">
        <v>49</v>
      </c>
      <c r="J122" s="18"/>
      <c r="K122" s="17"/>
      <c r="L122" s="19"/>
      <c r="M122" s="18"/>
      <c r="N122" s="17"/>
      <c r="O122" s="19"/>
      <c r="P122" s="21"/>
      <c r="Q122" s="17"/>
      <c r="R122" s="20" t="s">
        <v>50</v>
      </c>
      <c r="S122" s="17"/>
      <c r="T122" s="17"/>
      <c r="U122" s="20" t="s">
        <v>50</v>
      </c>
      <c r="V122" s="17"/>
      <c r="X122" s="20" t="s">
        <v>51</v>
      </c>
      <c r="Y122" s="20" t="s">
        <v>51</v>
      </c>
      <c r="AA122" s="7" t="s">
        <v>78</v>
      </c>
    </row>
    <row r="123" spans="2:27" ht="12.75" hidden="1" outlineLevel="1">
      <c r="B123" s="24" t="s">
        <v>82</v>
      </c>
      <c r="C123" s="24"/>
      <c r="D123" s="24" t="s">
        <v>83</v>
      </c>
      <c r="E123" s="7">
        <v>1</v>
      </c>
      <c r="F123" s="25"/>
      <c r="G123" s="24"/>
      <c r="H123" s="12"/>
      <c r="I123" s="13" t="s">
        <v>49</v>
      </c>
      <c r="J123" s="25"/>
      <c r="K123" s="24"/>
      <c r="L123" s="12"/>
      <c r="M123" s="25"/>
      <c r="N123" s="24"/>
      <c r="O123" s="12"/>
      <c r="P123" s="26"/>
      <c r="Q123" s="7"/>
      <c r="R123" s="13" t="s">
        <v>50</v>
      </c>
      <c r="S123" s="7"/>
      <c r="T123" s="15">
        <f>IF(Q123="","",IF(Q123&gt;S123,2,IF(Q123&lt;S123,0,1)))</f>
      </c>
      <c r="U123" s="13" t="s">
        <v>50</v>
      </c>
      <c r="V123" s="16">
        <f>IF(S123="","",IF(S123&gt;Q123,2,IF(S123&lt;Q123,0,1)))</f>
      </c>
      <c r="X123" s="13" t="s">
        <v>51</v>
      </c>
      <c r="Y123" s="13" t="s">
        <v>51</v>
      </c>
      <c r="AA123" s="7" t="s">
        <v>78</v>
      </c>
    </row>
    <row r="124" spans="2:27" ht="12.75" hidden="1" outlineLevel="1">
      <c r="B124" s="24" t="s">
        <v>56</v>
      </c>
      <c r="C124" s="24"/>
      <c r="D124" s="24" t="s">
        <v>84</v>
      </c>
      <c r="E124" s="7">
        <v>2</v>
      </c>
      <c r="F124" s="25"/>
      <c r="G124" s="24"/>
      <c r="H124" s="12"/>
      <c r="I124" s="13" t="s">
        <v>49</v>
      </c>
      <c r="J124" s="25"/>
      <c r="K124" s="24"/>
      <c r="L124" s="12"/>
      <c r="M124" s="25"/>
      <c r="N124" s="24"/>
      <c r="O124" s="12"/>
      <c r="P124" s="26"/>
      <c r="Q124" s="7"/>
      <c r="R124" s="13" t="s">
        <v>50</v>
      </c>
      <c r="S124" s="7"/>
      <c r="T124" s="7"/>
      <c r="U124" s="13" t="s">
        <v>50</v>
      </c>
      <c r="V124" s="7"/>
      <c r="X124" s="13" t="s">
        <v>51</v>
      </c>
      <c r="Y124" s="13" t="s">
        <v>51</v>
      </c>
      <c r="AA124" s="7" t="s">
        <v>78</v>
      </c>
    </row>
    <row r="125" spans="2:27" ht="12.75" hidden="1" outlineLevel="1">
      <c r="B125" s="24"/>
      <c r="C125" s="24"/>
      <c r="D125" s="24" t="s">
        <v>85</v>
      </c>
      <c r="E125" s="7">
        <v>3</v>
      </c>
      <c r="F125" s="25"/>
      <c r="G125" s="24"/>
      <c r="H125" s="12"/>
      <c r="I125" s="13" t="s">
        <v>49</v>
      </c>
      <c r="J125" s="25"/>
      <c r="K125" s="24"/>
      <c r="L125" s="12"/>
      <c r="M125" s="25"/>
      <c r="N125" s="24"/>
      <c r="O125" s="12"/>
      <c r="P125" s="26"/>
      <c r="Q125" s="7"/>
      <c r="R125" s="13" t="s">
        <v>50</v>
      </c>
      <c r="S125" s="7"/>
      <c r="T125" s="7"/>
      <c r="U125" s="13" t="s">
        <v>50</v>
      </c>
      <c r="V125" s="7"/>
      <c r="X125" s="13" t="s">
        <v>51</v>
      </c>
      <c r="Y125" s="13" t="s">
        <v>51</v>
      </c>
      <c r="AA125" s="7" t="s">
        <v>78</v>
      </c>
    </row>
    <row r="126" spans="2:27" ht="12.75" hidden="1" outlineLevel="1">
      <c r="B126" s="17"/>
      <c r="C126" s="17"/>
      <c r="D126" s="17" t="s">
        <v>86</v>
      </c>
      <c r="E126" s="17">
        <v>4</v>
      </c>
      <c r="F126" s="18"/>
      <c r="G126" s="17"/>
      <c r="H126" s="19"/>
      <c r="I126" s="20" t="s">
        <v>49</v>
      </c>
      <c r="J126" s="18"/>
      <c r="K126" s="17"/>
      <c r="L126" s="19"/>
      <c r="M126" s="18"/>
      <c r="N126" s="17"/>
      <c r="O126" s="19"/>
      <c r="P126" s="21"/>
      <c r="Q126" s="17"/>
      <c r="R126" s="20" t="s">
        <v>50</v>
      </c>
      <c r="S126" s="17"/>
      <c r="T126" s="17"/>
      <c r="U126" s="20" t="s">
        <v>50</v>
      </c>
      <c r="V126" s="17"/>
      <c r="X126" s="20" t="s">
        <v>51</v>
      </c>
      <c r="Y126" s="20" t="s">
        <v>51</v>
      </c>
      <c r="AA126" s="7" t="s">
        <v>78</v>
      </c>
    </row>
    <row r="127" spans="2:27" ht="12.75" hidden="1" outlineLevel="1">
      <c r="B127" s="24" t="s">
        <v>87</v>
      </c>
      <c r="C127" s="24"/>
      <c r="D127" s="24" t="s">
        <v>88</v>
      </c>
      <c r="E127" s="7">
        <v>1</v>
      </c>
      <c r="F127" s="25"/>
      <c r="G127" s="24"/>
      <c r="H127" s="12"/>
      <c r="I127" s="13" t="s">
        <v>49</v>
      </c>
      <c r="J127" s="25"/>
      <c r="K127" s="24"/>
      <c r="L127" s="12"/>
      <c r="M127" s="25"/>
      <c r="N127" s="24"/>
      <c r="O127" s="12"/>
      <c r="P127" s="26"/>
      <c r="Q127" s="7"/>
      <c r="R127" s="13" t="s">
        <v>50</v>
      </c>
      <c r="S127" s="7"/>
      <c r="T127" s="15">
        <f>IF(Q127="","",IF(Q127&gt;S127,2,IF(Q127&lt;S127,0,1)))</f>
      </c>
      <c r="U127" s="13" t="s">
        <v>50</v>
      </c>
      <c r="V127" s="16">
        <f>IF(S127="","",IF(S127&gt;Q127,2,IF(S127&lt;Q127,0,1)))</f>
      </c>
      <c r="X127" s="13" t="s">
        <v>51</v>
      </c>
      <c r="Y127" s="13" t="s">
        <v>51</v>
      </c>
      <c r="AA127" s="7" t="s">
        <v>78</v>
      </c>
    </row>
    <row r="128" spans="2:27" ht="12.75" hidden="1" outlineLevel="1">
      <c r="B128" s="24" t="s">
        <v>56</v>
      </c>
      <c r="C128" s="24"/>
      <c r="D128" s="24" t="s">
        <v>89</v>
      </c>
      <c r="E128" s="7">
        <v>2</v>
      </c>
      <c r="F128" s="25"/>
      <c r="G128" s="24"/>
      <c r="H128" s="12"/>
      <c r="I128" s="13" t="s">
        <v>49</v>
      </c>
      <c r="J128" s="25"/>
      <c r="K128" s="24"/>
      <c r="L128" s="12"/>
      <c r="M128" s="25"/>
      <c r="N128" s="24"/>
      <c r="O128" s="12"/>
      <c r="P128" s="26"/>
      <c r="Q128" s="7"/>
      <c r="R128" s="13" t="s">
        <v>50</v>
      </c>
      <c r="S128" s="7"/>
      <c r="T128" s="7"/>
      <c r="U128" s="13" t="s">
        <v>50</v>
      </c>
      <c r="V128" s="7"/>
      <c r="X128" s="13" t="s">
        <v>51</v>
      </c>
      <c r="Y128" s="13" t="s">
        <v>51</v>
      </c>
      <c r="AA128" s="7" t="s">
        <v>78</v>
      </c>
    </row>
    <row r="129" spans="2:27" ht="12.75" hidden="1" outlineLevel="1">
      <c r="B129" s="24"/>
      <c r="C129" s="24"/>
      <c r="D129" s="24" t="s">
        <v>90</v>
      </c>
      <c r="E129" s="7">
        <v>3</v>
      </c>
      <c r="F129" s="25"/>
      <c r="G129" s="24"/>
      <c r="H129" s="12"/>
      <c r="I129" s="13" t="s">
        <v>49</v>
      </c>
      <c r="J129" s="25"/>
      <c r="K129" s="24"/>
      <c r="L129" s="12"/>
      <c r="M129" s="25"/>
      <c r="N129" s="24"/>
      <c r="O129" s="12"/>
      <c r="P129" s="26"/>
      <c r="Q129" s="7"/>
      <c r="R129" s="13" t="s">
        <v>50</v>
      </c>
      <c r="S129" s="7"/>
      <c r="T129" s="7"/>
      <c r="U129" s="13" t="s">
        <v>50</v>
      </c>
      <c r="V129" s="7"/>
      <c r="X129" s="13" t="s">
        <v>51</v>
      </c>
      <c r="Y129" s="13" t="s">
        <v>51</v>
      </c>
      <c r="AA129" s="7" t="s">
        <v>78</v>
      </c>
    </row>
    <row r="130" spans="2:27" ht="12.75" hidden="1" outlineLevel="1">
      <c r="B130" s="17"/>
      <c r="C130" s="17"/>
      <c r="D130" s="17" t="s">
        <v>91</v>
      </c>
      <c r="E130" s="17">
        <v>4</v>
      </c>
      <c r="F130" s="18"/>
      <c r="G130" s="17"/>
      <c r="H130" s="19"/>
      <c r="I130" s="20" t="s">
        <v>49</v>
      </c>
      <c r="J130" s="18"/>
      <c r="K130" s="17"/>
      <c r="L130" s="19"/>
      <c r="M130" s="18"/>
      <c r="N130" s="17"/>
      <c r="O130" s="19"/>
      <c r="P130" s="21"/>
      <c r="Q130" s="17"/>
      <c r="R130" s="20" t="s">
        <v>50</v>
      </c>
      <c r="S130" s="17"/>
      <c r="T130" s="17"/>
      <c r="U130" s="20" t="s">
        <v>50</v>
      </c>
      <c r="V130" s="17"/>
      <c r="X130" s="20" t="s">
        <v>51</v>
      </c>
      <c r="Y130" s="20" t="s">
        <v>51</v>
      </c>
      <c r="AA130" s="7" t="s">
        <v>78</v>
      </c>
    </row>
    <row r="131" spans="2:27" ht="12.75" hidden="1" outlineLevel="1">
      <c r="B131" s="24" t="s">
        <v>92</v>
      </c>
      <c r="C131" s="24"/>
      <c r="D131" s="24" t="s">
        <v>93</v>
      </c>
      <c r="E131" s="7">
        <v>1</v>
      </c>
      <c r="F131" s="25"/>
      <c r="G131" s="24"/>
      <c r="H131" s="12"/>
      <c r="I131" s="13" t="s">
        <v>49</v>
      </c>
      <c r="J131" s="25"/>
      <c r="K131" s="24"/>
      <c r="L131" s="12"/>
      <c r="M131" s="25"/>
      <c r="N131" s="24"/>
      <c r="O131" s="12"/>
      <c r="P131" s="26"/>
      <c r="Q131" s="7"/>
      <c r="R131" s="13" t="s">
        <v>50</v>
      </c>
      <c r="S131" s="7"/>
      <c r="T131" s="15">
        <f>IF(Q131="","",IF(Q131&gt;S131,2,IF(Q131&lt;S131,0,1)))</f>
      </c>
      <c r="U131" s="13" t="s">
        <v>50</v>
      </c>
      <c r="V131" s="16">
        <f>IF(S131="","",IF(S131&gt;Q131,2,IF(S131&lt;Q131,0,1)))</f>
      </c>
      <c r="X131" s="13" t="s">
        <v>51</v>
      </c>
      <c r="Y131" s="13" t="s">
        <v>51</v>
      </c>
      <c r="AA131" s="7" t="s">
        <v>78</v>
      </c>
    </row>
    <row r="132" spans="2:27" ht="12.75" hidden="1" outlineLevel="1">
      <c r="B132" s="24" t="s">
        <v>56</v>
      </c>
      <c r="C132" s="24"/>
      <c r="D132" s="24" t="s">
        <v>94</v>
      </c>
      <c r="E132" s="7">
        <v>2</v>
      </c>
      <c r="F132" s="25"/>
      <c r="G132" s="24"/>
      <c r="H132" s="12"/>
      <c r="I132" s="13" t="s">
        <v>49</v>
      </c>
      <c r="J132" s="25"/>
      <c r="K132" s="24"/>
      <c r="L132" s="12"/>
      <c r="M132" s="25"/>
      <c r="N132" s="24"/>
      <c r="O132" s="12"/>
      <c r="P132" s="26"/>
      <c r="Q132" s="7"/>
      <c r="R132" s="13" t="s">
        <v>50</v>
      </c>
      <c r="S132" s="7"/>
      <c r="T132" s="7"/>
      <c r="U132" s="13" t="s">
        <v>50</v>
      </c>
      <c r="V132" s="7"/>
      <c r="X132" s="13" t="s">
        <v>51</v>
      </c>
      <c r="Y132" s="13" t="s">
        <v>51</v>
      </c>
      <c r="AA132" s="7" t="s">
        <v>78</v>
      </c>
    </row>
    <row r="133" spans="2:27" ht="12.75" hidden="1" outlineLevel="1">
      <c r="B133" s="24"/>
      <c r="C133" s="24"/>
      <c r="D133" s="24" t="s">
        <v>95</v>
      </c>
      <c r="E133" s="7">
        <v>3</v>
      </c>
      <c r="F133" s="25"/>
      <c r="G133" s="24"/>
      <c r="H133" s="12"/>
      <c r="I133" s="13" t="s">
        <v>49</v>
      </c>
      <c r="J133" s="25"/>
      <c r="K133" s="24"/>
      <c r="L133" s="12"/>
      <c r="M133" s="25"/>
      <c r="N133" s="24"/>
      <c r="O133" s="12"/>
      <c r="P133" s="26"/>
      <c r="Q133" s="7"/>
      <c r="R133" s="13" t="s">
        <v>50</v>
      </c>
      <c r="S133" s="7"/>
      <c r="T133" s="7"/>
      <c r="U133" s="13" t="s">
        <v>50</v>
      </c>
      <c r="V133" s="7"/>
      <c r="X133" s="13" t="s">
        <v>51</v>
      </c>
      <c r="Y133" s="13" t="s">
        <v>51</v>
      </c>
      <c r="AA133" s="7" t="s">
        <v>78</v>
      </c>
    </row>
    <row r="134" spans="2:27" ht="12.75" hidden="1" outlineLevel="1">
      <c r="B134" s="17"/>
      <c r="C134" s="17"/>
      <c r="D134" s="17" t="s">
        <v>96</v>
      </c>
      <c r="E134" s="17">
        <v>4</v>
      </c>
      <c r="F134" s="18"/>
      <c r="G134" s="17"/>
      <c r="H134" s="19"/>
      <c r="I134" s="20" t="s">
        <v>49</v>
      </c>
      <c r="J134" s="18"/>
      <c r="K134" s="17"/>
      <c r="L134" s="19"/>
      <c r="M134" s="18"/>
      <c r="N134" s="17"/>
      <c r="O134" s="19"/>
      <c r="P134" s="21"/>
      <c r="Q134" s="17"/>
      <c r="R134" s="20" t="s">
        <v>50</v>
      </c>
      <c r="S134" s="17"/>
      <c r="T134" s="17"/>
      <c r="U134" s="20" t="s">
        <v>50</v>
      </c>
      <c r="V134" s="17"/>
      <c r="X134" s="20" t="s">
        <v>51</v>
      </c>
      <c r="Y134" s="20" t="s">
        <v>51</v>
      </c>
      <c r="AA134" s="7" t="s">
        <v>78</v>
      </c>
    </row>
    <row r="135" spans="16:27" ht="12.75" collapsed="1">
      <c r="P135" s="27"/>
      <c r="AA135" s="7"/>
    </row>
    <row r="136" ht="12.75">
      <c r="AA136" s="7"/>
    </row>
    <row r="137" ht="12.75">
      <c r="AA137" s="7"/>
    </row>
    <row r="138" ht="12.75">
      <c r="AA138" s="7"/>
    </row>
    <row r="139" ht="12.75">
      <c r="AA139" s="7"/>
    </row>
    <row r="140" ht="12.75">
      <c r="AA140" s="7"/>
    </row>
    <row r="141" ht="12.75">
      <c r="AA141" s="7"/>
    </row>
    <row r="142" ht="12.75">
      <c r="AA142" s="7"/>
    </row>
    <row r="143" ht="12.75">
      <c r="AA143" s="7"/>
    </row>
    <row r="144" ht="12.75">
      <c r="AA144" s="7"/>
    </row>
    <row r="145" ht="12.75">
      <c r="AA145" s="7"/>
    </row>
    <row r="146" ht="12.75">
      <c r="AA146" s="7"/>
    </row>
    <row r="147" ht="12.75">
      <c r="AA147" s="7"/>
    </row>
    <row r="148" ht="12.75">
      <c r="AA148" s="7"/>
    </row>
    <row r="149" ht="12.75">
      <c r="AA149" s="7"/>
    </row>
    <row r="150" ht="12.75">
      <c r="AA150" s="7"/>
    </row>
    <row r="151" ht="12.75">
      <c r="AA151" s="7"/>
    </row>
    <row r="152" ht="12.75">
      <c r="AA152" s="7"/>
    </row>
    <row r="153" ht="12.75">
      <c r="AA153" s="7"/>
    </row>
    <row r="154" ht="12.75">
      <c r="AA154" s="7"/>
    </row>
    <row r="155" ht="12.75">
      <c r="AA155" s="7"/>
    </row>
    <row r="156" ht="12.75">
      <c r="AA156" s="7"/>
    </row>
    <row r="157" ht="12.75">
      <c r="AA157" s="7"/>
    </row>
    <row r="158" ht="12.75">
      <c r="AA158" s="7"/>
    </row>
    <row r="159" ht="12.75">
      <c r="AA159" s="7"/>
    </row>
    <row r="160" ht="12.75">
      <c r="AA160" s="7"/>
    </row>
    <row r="161" ht="12.75">
      <c r="AA161" s="7"/>
    </row>
    <row r="162" ht="12.75">
      <c r="AA162" s="7"/>
    </row>
    <row r="163" ht="12.75">
      <c r="AA163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4"/>
  <sheetViews>
    <sheetView workbookViewId="0" topLeftCell="B1">
      <selection activeCell="A1" sqref="A1:IV16384"/>
    </sheetView>
  </sheetViews>
  <sheetFormatPr defaultColWidth="11.421875" defaultRowHeight="12.75" outlineLevelRow="1" outlineLevelCol="1"/>
  <cols>
    <col min="1" max="1" width="3.00390625" style="4" hidden="1" customWidth="1" outlineLevel="1"/>
    <col min="2" max="2" width="3.7109375" style="4" customWidth="1" collapsed="1"/>
    <col min="3" max="3" width="4.8515625" style="4" customWidth="1"/>
    <col min="4" max="4" width="3.28125" style="4" customWidth="1"/>
    <col min="5" max="5" width="4.140625" style="4" customWidth="1"/>
    <col min="6" max="6" width="3.140625" style="4" customWidth="1"/>
    <col min="7" max="7" width="2.7109375" style="4" hidden="1" customWidth="1" outlineLevel="1"/>
    <col min="8" max="8" width="16.7109375" style="4" customWidth="1" collapsed="1"/>
    <col min="9" max="9" width="1.421875" style="4" customWidth="1"/>
    <col min="10" max="10" width="3.140625" style="4" customWidth="1"/>
    <col min="11" max="11" width="2.7109375" style="4" hidden="1" customWidth="1" outlineLevel="1"/>
    <col min="12" max="12" width="16.7109375" style="4" customWidth="1" collapsed="1"/>
    <col min="13" max="13" width="3.140625" style="4" customWidth="1"/>
    <col min="14" max="14" width="2.7109375" style="4" hidden="1" customWidth="1" outlineLevel="1"/>
    <col min="15" max="15" width="16.7109375" style="4" customWidth="1" collapsed="1"/>
    <col min="16" max="16" width="4.8515625" style="4" hidden="1" customWidth="1" outlineLevel="1"/>
    <col min="17" max="17" width="2.7109375" style="4" hidden="1" customWidth="1" outlineLevel="1"/>
    <col min="18" max="18" width="1.421875" style="4" hidden="1" customWidth="1" outlineLevel="1"/>
    <col min="19" max="20" width="2.7109375" style="4" hidden="1" customWidth="1" outlineLevel="1"/>
    <col min="21" max="21" width="1.421875" style="4" hidden="1" customWidth="1" outlineLevel="1"/>
    <col min="22" max="22" width="2.7109375" style="4" hidden="1" customWidth="1" outlineLevel="1"/>
    <col min="23" max="23" width="0.71875" style="4" customWidth="1" collapsed="1"/>
    <col min="24" max="25" width="8.28125" style="4" customWidth="1" outlineLevel="1"/>
    <col min="26" max="26" width="2.140625" style="7" customWidth="1"/>
    <col min="27" max="27" width="6.28125" style="4" bestFit="1" customWidth="1"/>
    <col min="28" max="16384" width="11.421875" style="4" customWidth="1"/>
  </cols>
  <sheetData>
    <row r="1" spans="2:25" ht="18.75" customHeight="1">
      <c r="B1" s="5" t="s">
        <v>27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ht="12.75"/>
    <row r="3" spans="1:25" ht="12.75" hidden="1" outlineLevel="1">
      <c r="A3" s="7"/>
      <c r="B3" s="7" t="s">
        <v>21</v>
      </c>
      <c r="C3" s="7"/>
      <c r="D3" s="7"/>
      <c r="E3" s="7"/>
      <c r="F3" s="7"/>
      <c r="G3" s="7"/>
      <c r="H3" s="7" t="s">
        <v>18</v>
      </c>
      <c r="I3" s="7"/>
      <c r="J3" s="7"/>
      <c r="K3" s="7"/>
      <c r="L3" s="7" t="s">
        <v>15</v>
      </c>
      <c r="M3" s="7"/>
      <c r="N3" s="7"/>
      <c r="O3" s="7" t="s">
        <v>24</v>
      </c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2.75" hidden="1" outlineLevel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4.5" customHeight="1" hidden="1" outlineLevel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2.75" hidden="1" outlineLevel="1">
      <c r="A6" s="7"/>
      <c r="B6" s="7" t="s">
        <v>30</v>
      </c>
      <c r="C6" s="7"/>
      <c r="D6" s="7"/>
      <c r="E6" s="7"/>
      <c r="F6" s="7"/>
      <c r="G6" s="7"/>
      <c r="H6" s="7" t="s">
        <v>29</v>
      </c>
      <c r="I6" s="7"/>
      <c r="J6" s="7"/>
      <c r="K6" s="7"/>
      <c r="L6" s="7" t="s">
        <v>28</v>
      </c>
      <c r="M6" s="7"/>
      <c r="N6" s="7"/>
      <c r="O6" s="7" t="s">
        <v>31</v>
      </c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 hidden="1" outlineLevel="1">
      <c r="A7" s="7">
        <v>1</v>
      </c>
      <c r="B7" s="28" t="s">
        <v>97</v>
      </c>
      <c r="C7" s="7"/>
      <c r="D7" s="7"/>
      <c r="E7" s="7"/>
      <c r="F7" s="7"/>
      <c r="G7" s="8"/>
      <c r="H7" s="28" t="s">
        <v>97</v>
      </c>
      <c r="I7" s="7"/>
      <c r="J7" s="7"/>
      <c r="K7" s="7"/>
      <c r="L7" s="28" t="s">
        <v>97</v>
      </c>
      <c r="M7" s="7"/>
      <c r="N7" s="7"/>
      <c r="O7" s="28" t="s">
        <v>97</v>
      </c>
      <c r="P7" s="7"/>
      <c r="Q7" s="7"/>
      <c r="R7" s="7"/>
      <c r="S7" s="7"/>
      <c r="T7" s="7"/>
      <c r="U7" s="7"/>
      <c r="V7" s="7"/>
      <c r="W7" s="7"/>
      <c r="X7" s="28"/>
      <c r="Y7" s="7"/>
    </row>
    <row r="8" spans="1:25" ht="12.75" hidden="1" outlineLevel="1">
      <c r="A8" s="7">
        <v>2</v>
      </c>
      <c r="B8" s="28" t="s">
        <v>97</v>
      </c>
      <c r="C8" s="7"/>
      <c r="D8" s="7"/>
      <c r="E8" s="7"/>
      <c r="F8" s="7"/>
      <c r="G8" s="8"/>
      <c r="H8" s="28" t="s">
        <v>97</v>
      </c>
      <c r="I8" s="7"/>
      <c r="J8" s="7"/>
      <c r="K8" s="7"/>
      <c r="L8" s="28" t="s">
        <v>97</v>
      </c>
      <c r="M8" s="7"/>
      <c r="N8" s="7"/>
      <c r="O8" s="28" t="s">
        <v>97</v>
      </c>
      <c r="P8" s="7"/>
      <c r="Q8" s="7"/>
      <c r="R8" s="7"/>
      <c r="S8" s="7"/>
      <c r="T8" s="7"/>
      <c r="U8" s="7"/>
      <c r="V8" s="7"/>
      <c r="W8" s="7"/>
      <c r="X8" s="28"/>
      <c r="Y8" s="7"/>
    </row>
    <row r="9" spans="1:25" ht="12.75" hidden="1" outlineLevel="1">
      <c r="A9" s="7">
        <v>3</v>
      </c>
      <c r="B9" s="28" t="s">
        <v>97</v>
      </c>
      <c r="C9" s="7"/>
      <c r="D9" s="7"/>
      <c r="E9" s="7"/>
      <c r="F9" s="7"/>
      <c r="G9" s="8"/>
      <c r="H9" s="28" t="s">
        <v>97</v>
      </c>
      <c r="I9" s="7"/>
      <c r="J9" s="7"/>
      <c r="K9" s="7"/>
      <c r="L9" s="28" t="s">
        <v>97</v>
      </c>
      <c r="M9" s="7"/>
      <c r="N9" s="7"/>
      <c r="O9" s="28" t="s">
        <v>97</v>
      </c>
      <c r="P9" s="7"/>
      <c r="Q9" s="7"/>
      <c r="R9" s="7"/>
      <c r="S9" s="7"/>
      <c r="T9" s="7"/>
      <c r="U9" s="7"/>
      <c r="V9" s="7"/>
      <c r="W9" s="7"/>
      <c r="X9" s="28"/>
      <c r="Y9" s="7"/>
    </row>
    <row r="10" spans="1:25" ht="12.75" hidden="1" outlineLevel="1">
      <c r="A10" s="7">
        <v>4</v>
      </c>
      <c r="B10" s="28" t="s">
        <v>97</v>
      </c>
      <c r="C10" s="7"/>
      <c r="D10" s="7"/>
      <c r="E10" s="7"/>
      <c r="F10" s="7"/>
      <c r="G10" s="8"/>
      <c r="H10" s="28" t="s">
        <v>97</v>
      </c>
      <c r="I10" s="7"/>
      <c r="J10" s="7"/>
      <c r="K10" s="7"/>
      <c r="L10" s="28" t="s">
        <v>97</v>
      </c>
      <c r="M10" s="7"/>
      <c r="N10" s="7"/>
      <c r="O10" s="28" t="s">
        <v>97</v>
      </c>
      <c r="P10" s="7"/>
      <c r="Q10" s="7"/>
      <c r="R10" s="7"/>
      <c r="S10" s="7"/>
      <c r="T10" s="7"/>
      <c r="U10" s="7"/>
      <c r="V10" s="7"/>
      <c r="W10" s="7"/>
      <c r="X10" s="28"/>
      <c r="Y10" s="7"/>
    </row>
    <row r="11" spans="1:25" ht="12.75" hidden="1" outlineLevel="1">
      <c r="A11" s="7">
        <v>5</v>
      </c>
      <c r="B11" s="28" t="s">
        <v>97</v>
      </c>
      <c r="C11" s="7"/>
      <c r="D11" s="7"/>
      <c r="E11" s="7"/>
      <c r="F11" s="7"/>
      <c r="G11" s="8"/>
      <c r="H11" s="28" t="s">
        <v>97</v>
      </c>
      <c r="I11" s="7"/>
      <c r="J11" s="7"/>
      <c r="K11" s="7"/>
      <c r="L11" s="28" t="s">
        <v>97</v>
      </c>
      <c r="M11" s="7"/>
      <c r="N11" s="7"/>
      <c r="O11" s="28" t="s">
        <v>97</v>
      </c>
      <c r="P11" s="7"/>
      <c r="Q11" s="7"/>
      <c r="R11" s="7"/>
      <c r="S11" s="7"/>
      <c r="T11" s="7"/>
      <c r="U11" s="7"/>
      <c r="V11" s="7"/>
      <c r="W11" s="7"/>
      <c r="X11" s="28"/>
      <c r="Y11" s="7"/>
    </row>
    <row r="12" spans="1:25" ht="12.75" hidden="1" outlineLevel="1">
      <c r="A12" s="7">
        <v>11</v>
      </c>
      <c r="B12" s="28" t="s">
        <v>97</v>
      </c>
      <c r="C12" s="7"/>
      <c r="D12" s="7"/>
      <c r="E12" s="7"/>
      <c r="F12" s="7"/>
      <c r="G12" s="8"/>
      <c r="H12" s="28" t="s">
        <v>97</v>
      </c>
      <c r="I12" s="7"/>
      <c r="J12" s="7"/>
      <c r="K12" s="7"/>
      <c r="L12" s="28" t="s">
        <v>97</v>
      </c>
      <c r="M12" s="7"/>
      <c r="N12" s="7"/>
      <c r="O12" s="28" t="s">
        <v>97</v>
      </c>
      <c r="P12" s="7"/>
      <c r="Q12" s="7"/>
      <c r="R12" s="7"/>
      <c r="S12" s="7"/>
      <c r="T12" s="7"/>
      <c r="U12" s="7"/>
      <c r="V12" s="7"/>
      <c r="W12" s="7"/>
      <c r="X12" s="28"/>
      <c r="Y12" s="7"/>
    </row>
    <row r="13" spans="1:25" ht="12.75" hidden="1" outlineLevel="1">
      <c r="A13" s="7">
        <v>12</v>
      </c>
      <c r="B13" s="28" t="s">
        <v>97</v>
      </c>
      <c r="C13" s="7"/>
      <c r="D13" s="7"/>
      <c r="E13" s="7"/>
      <c r="F13" s="7"/>
      <c r="G13" s="8"/>
      <c r="H13" s="28" t="s">
        <v>97</v>
      </c>
      <c r="I13" s="7"/>
      <c r="J13" s="7"/>
      <c r="K13" s="7"/>
      <c r="L13" s="28" t="s">
        <v>97</v>
      </c>
      <c r="M13" s="7"/>
      <c r="N13" s="7"/>
      <c r="O13" s="28" t="s">
        <v>97</v>
      </c>
      <c r="P13" s="7"/>
      <c r="Q13" s="7"/>
      <c r="R13" s="7"/>
      <c r="S13" s="7"/>
      <c r="T13" s="7"/>
      <c r="U13" s="7"/>
      <c r="V13" s="7"/>
      <c r="W13" s="7"/>
      <c r="X13" s="28"/>
      <c r="Y13" s="7"/>
    </row>
    <row r="14" spans="1:25" ht="12.75" hidden="1" outlineLevel="1">
      <c r="A14" s="7">
        <v>13</v>
      </c>
      <c r="B14" s="28" t="s">
        <v>97</v>
      </c>
      <c r="C14" s="7"/>
      <c r="D14" s="7"/>
      <c r="E14" s="7"/>
      <c r="F14" s="7"/>
      <c r="G14" s="8"/>
      <c r="H14" s="28" t="s">
        <v>97</v>
      </c>
      <c r="I14" s="7"/>
      <c r="J14" s="7"/>
      <c r="K14" s="7"/>
      <c r="L14" s="28" t="s">
        <v>97</v>
      </c>
      <c r="M14" s="7"/>
      <c r="N14" s="7"/>
      <c r="O14" s="28" t="s">
        <v>97</v>
      </c>
      <c r="P14" s="7"/>
      <c r="Q14" s="7"/>
      <c r="R14" s="7"/>
      <c r="S14" s="7"/>
      <c r="T14" s="7"/>
      <c r="U14" s="7"/>
      <c r="V14" s="7"/>
      <c r="W14" s="7"/>
      <c r="X14" s="28"/>
      <c r="Y14" s="7"/>
    </row>
    <row r="15" spans="1:25" ht="12.75" hidden="1" outlineLevel="1">
      <c r="A15" s="7">
        <v>14</v>
      </c>
      <c r="B15" s="28" t="s">
        <v>97</v>
      </c>
      <c r="C15" s="7"/>
      <c r="D15" s="7"/>
      <c r="E15" s="7"/>
      <c r="F15" s="7"/>
      <c r="G15" s="8"/>
      <c r="H15" s="28" t="s">
        <v>97</v>
      </c>
      <c r="I15" s="7"/>
      <c r="J15" s="7"/>
      <c r="K15" s="7"/>
      <c r="L15" s="28" t="s">
        <v>97</v>
      </c>
      <c r="M15" s="7"/>
      <c r="N15" s="7"/>
      <c r="O15" s="28" t="s">
        <v>97</v>
      </c>
      <c r="P15" s="7"/>
      <c r="Q15" s="7"/>
      <c r="R15" s="7"/>
      <c r="S15" s="7"/>
      <c r="T15" s="7"/>
      <c r="U15" s="7"/>
      <c r="V15" s="7"/>
      <c r="W15" s="7"/>
      <c r="X15" s="28"/>
      <c r="Y15" s="7"/>
    </row>
    <row r="16" spans="1:25" ht="12.75" hidden="1" outlineLevel="1">
      <c r="A16" s="7">
        <v>15</v>
      </c>
      <c r="B16" s="28" t="s">
        <v>97</v>
      </c>
      <c r="C16" s="7"/>
      <c r="D16" s="7"/>
      <c r="E16" s="7"/>
      <c r="F16" s="7"/>
      <c r="G16" s="8"/>
      <c r="H16" s="28" t="s">
        <v>97</v>
      </c>
      <c r="I16" s="7"/>
      <c r="J16" s="7"/>
      <c r="K16" s="7"/>
      <c r="L16" s="7" t="s">
        <v>97</v>
      </c>
      <c r="M16" s="7"/>
      <c r="N16" s="7"/>
      <c r="O16" s="7" t="s">
        <v>97</v>
      </c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="7" customFormat="1" ht="11.25" hidden="1" outlineLevel="1">
      <c r="G17" s="8"/>
    </row>
    <row r="18" s="7" customFormat="1" ht="11.25" hidden="1" outlineLevel="1">
      <c r="G18" s="8"/>
    </row>
    <row r="19" s="7" customFormat="1" ht="11.25" hidden="1" outlineLevel="1">
      <c r="G19" s="8"/>
    </row>
    <row r="20" spans="1:15" ht="12.75" hidden="1" outlineLevel="1">
      <c r="A20" s="7"/>
      <c r="B20" s="7"/>
      <c r="G20"/>
      <c r="H20" s="7"/>
      <c r="I20" s="7"/>
      <c r="J20" s="7"/>
      <c r="K20" s="7"/>
      <c r="L20" s="7"/>
      <c r="M20" s="7"/>
      <c r="N20" s="7"/>
      <c r="O20" s="7"/>
    </row>
    <row r="21" ht="4.5" customHeight="1" hidden="1" outlineLevel="1"/>
    <row r="22" spans="2:25" s="7" customFormat="1" ht="12.75" customHeight="1" collapsed="1" thickBot="1">
      <c r="B22" s="9" t="s">
        <v>40</v>
      </c>
      <c r="C22" s="9" t="s">
        <v>41</v>
      </c>
      <c r="D22" s="9" t="s">
        <v>42</v>
      </c>
      <c r="E22" s="9" t="s">
        <v>43</v>
      </c>
      <c r="F22" s="9"/>
      <c r="G22" s="9"/>
      <c r="H22" s="9" t="s">
        <v>44</v>
      </c>
      <c r="I22" s="9"/>
      <c r="J22" s="9"/>
      <c r="K22" s="9"/>
      <c r="L22" s="9" t="s">
        <v>44</v>
      </c>
      <c r="M22" s="9"/>
      <c r="N22" s="9"/>
      <c r="O22" s="9" t="s">
        <v>45</v>
      </c>
      <c r="P22" s="9" t="s">
        <v>46</v>
      </c>
      <c r="Q22" s="9"/>
      <c r="R22" s="9" t="s">
        <v>47</v>
      </c>
      <c r="S22" s="9"/>
      <c r="T22" s="9"/>
      <c r="U22" s="9" t="s">
        <v>48</v>
      </c>
      <c r="V22" s="9"/>
      <c r="X22" s="9" t="s">
        <v>47</v>
      </c>
      <c r="Y22" s="9" t="s">
        <v>48</v>
      </c>
    </row>
    <row r="23" spans="2:28" s="7" customFormat="1" ht="12.75" customHeight="1" thickTop="1">
      <c r="B23" s="7">
        <v>26</v>
      </c>
      <c r="C23" s="10">
        <v>0.375</v>
      </c>
      <c r="D23" s="7">
        <v>81</v>
      </c>
      <c r="E23" s="7">
        <v>1</v>
      </c>
      <c r="F23" s="11" t="s">
        <v>28</v>
      </c>
      <c r="G23" s="7">
        <v>4</v>
      </c>
      <c r="H23" s="12" t="str">
        <f ca="1">IF($L$2="","4. Gruppe A",INDIRECT(ADDRESS(MATCH(G23,$A$1:$A$20,0),MATCH(F23,$A$6:$AE$6,0))))</f>
        <v>4. Gruppe A</v>
      </c>
      <c r="I23" s="13" t="s">
        <v>49</v>
      </c>
      <c r="J23" s="11" t="s">
        <v>28</v>
      </c>
      <c r="K23" s="7">
        <v>15</v>
      </c>
      <c r="L23" s="12" t="str">
        <f ca="1">IF($L$2="","5. Gruppe B",INDIRECT(ADDRESS(MATCH(K23,$A$1:$A$20,0),MATCH(J23,$A$6:$AE$6,0))))</f>
        <v>5. Gruppe B</v>
      </c>
      <c r="M23" s="11" t="s">
        <v>29</v>
      </c>
      <c r="N23" s="7">
        <v>4</v>
      </c>
      <c r="O23" s="12" t="str">
        <f ca="1">IF($H$2="","4. Gruppe E",INDIRECT(ADDRESS(MATCH(N23,$A$1:$A$20,0),MATCH(M23,$A$6:$AE$6,0))))</f>
        <v>4. Gruppe E</v>
      </c>
      <c r="P23" s="14"/>
      <c r="R23" s="13" t="s">
        <v>50</v>
      </c>
      <c r="S23" s="16"/>
      <c r="T23" s="15">
        <f aca="true" t="shared" si="0" ref="T23:T78">IF(Q23="","",IF(Q23&gt;S23,2,IF(Q23&lt;S23,0,1)))</f>
      </c>
      <c r="U23" s="13" t="s">
        <v>50</v>
      </c>
      <c r="V23" s="16">
        <f aca="true" t="shared" si="1" ref="V23:V78">IF(S23="","",IF(S23&gt;Q23,2,IF(S23&lt;Q23,0,1)))</f>
      </c>
      <c r="X23" s="13" t="s">
        <v>51</v>
      </c>
      <c r="Y23" s="13" t="s">
        <v>51</v>
      </c>
      <c r="AA23" s="7" t="s">
        <v>98</v>
      </c>
      <c r="AB23" s="7" t="s">
        <v>99</v>
      </c>
    </row>
    <row r="24" spans="4:28" s="7" customFormat="1" ht="12.75" customHeight="1">
      <c r="D24" s="7">
        <f aca="true" t="shared" si="2" ref="D24:D78">+D23+1</f>
        <v>82</v>
      </c>
      <c r="E24" s="7">
        <v>2</v>
      </c>
      <c r="F24" s="11" t="s">
        <v>28</v>
      </c>
      <c r="G24" s="7">
        <v>14</v>
      </c>
      <c r="H24" s="12" t="str">
        <f ca="1">IF($L$2="","4. Gruppe B",INDIRECT(ADDRESS(MATCH(G24,$A$1:$A$20,0),MATCH(F24,$A$6:$AE$6,0))))</f>
        <v>4. Gruppe B</v>
      </c>
      <c r="I24" s="13" t="s">
        <v>49</v>
      </c>
      <c r="J24" s="11" t="s">
        <v>28</v>
      </c>
      <c r="K24" s="7">
        <v>5</v>
      </c>
      <c r="L24" s="12" t="str">
        <f ca="1">IF($L$2="","5. Gruppe A",INDIRECT(ADDRESS(MATCH(K24,$A$1:$A$20,0),MATCH(J24,$A$6:$AE$6,0))))</f>
        <v>5. Gruppe A</v>
      </c>
      <c r="M24" s="11" t="s">
        <v>29</v>
      </c>
      <c r="N24" s="7">
        <v>5</v>
      </c>
      <c r="O24" s="12" t="str">
        <f ca="1">IF($H$2="","5. Gruppe E",INDIRECT(ADDRESS(MATCH(N24,$A$1:$A$20,0),MATCH(M24,$A$6:$AE$6,0))))</f>
        <v>5. Gruppe E</v>
      </c>
      <c r="P24" s="14"/>
      <c r="R24" s="13" t="s">
        <v>50</v>
      </c>
      <c r="S24" s="16"/>
      <c r="T24" s="15">
        <f t="shared" si="0"/>
      </c>
      <c r="U24" s="13" t="s">
        <v>50</v>
      </c>
      <c r="V24" s="16">
        <f t="shared" si="1"/>
      </c>
      <c r="X24" s="13" t="s">
        <v>51</v>
      </c>
      <c r="Y24" s="13" t="s">
        <v>51</v>
      </c>
      <c r="AA24" s="7" t="s">
        <v>98</v>
      </c>
      <c r="AB24" s="7" t="s">
        <v>99</v>
      </c>
    </row>
    <row r="25" spans="4:28" s="7" customFormat="1" ht="12.75" customHeight="1">
      <c r="D25" s="7">
        <f t="shared" si="2"/>
        <v>83</v>
      </c>
      <c r="E25" s="7">
        <v>3</v>
      </c>
      <c r="F25" s="11" t="s">
        <v>30</v>
      </c>
      <c r="G25" s="7">
        <v>4</v>
      </c>
      <c r="H25" s="12" t="str">
        <f ca="1">IF($B$2="","4. Gruppe C",INDIRECT(ADDRESS(MATCH(G25,$A$1:$A$20,0),MATCH(F25,$A$6:$AE$6,0))))</f>
        <v>4. Gruppe C</v>
      </c>
      <c r="I25" s="13" t="s">
        <v>49</v>
      </c>
      <c r="J25" s="11" t="s">
        <v>30</v>
      </c>
      <c r="K25" s="7">
        <v>15</v>
      </c>
      <c r="L25" s="12" t="str">
        <f ca="1">IF($B$2="","5. Gruppe D",INDIRECT(ADDRESS(MATCH(K25,$A$1:$A$20,0),MATCH(J25,$A$6:$AE$6,0))))</f>
        <v>5. Gruppe D</v>
      </c>
      <c r="M25" s="11" t="s">
        <v>31</v>
      </c>
      <c r="N25" s="7">
        <v>4</v>
      </c>
      <c r="O25" s="12" t="str">
        <f ca="1">IF($O$2="","4. Gruppe G",INDIRECT(ADDRESS(MATCH(N25,$A$1:$A$20,0),MATCH(M25,$A$6:$AE$6,0))))</f>
        <v>4. Gruppe G</v>
      </c>
      <c r="P25" s="14"/>
      <c r="R25" s="13" t="s">
        <v>50</v>
      </c>
      <c r="S25" s="16"/>
      <c r="T25" s="15">
        <f t="shared" si="0"/>
      </c>
      <c r="U25" s="13" t="s">
        <v>50</v>
      </c>
      <c r="V25" s="16">
        <f t="shared" si="1"/>
      </c>
      <c r="X25" s="13" t="s">
        <v>51</v>
      </c>
      <c r="Y25" s="13" t="s">
        <v>51</v>
      </c>
      <c r="AA25" s="7" t="s">
        <v>98</v>
      </c>
      <c r="AB25" s="7" t="s">
        <v>99</v>
      </c>
    </row>
    <row r="26" spans="2:28" s="7" customFormat="1" ht="12.75" customHeight="1">
      <c r="B26" s="17"/>
      <c r="C26" s="17"/>
      <c r="D26" s="17">
        <f t="shared" si="2"/>
        <v>84</v>
      </c>
      <c r="E26" s="17">
        <v>4</v>
      </c>
      <c r="F26" s="18" t="s">
        <v>30</v>
      </c>
      <c r="G26" s="17">
        <v>14</v>
      </c>
      <c r="H26" s="19" t="str">
        <f ca="1">IF($B$2="","4. Gruppe D",INDIRECT(ADDRESS(MATCH(G26,$A$1:$A$20,0),MATCH(F26,$A$6:$AE$6,0))))</f>
        <v>4. Gruppe D</v>
      </c>
      <c r="I26" s="20" t="s">
        <v>49</v>
      </c>
      <c r="J26" s="18" t="s">
        <v>30</v>
      </c>
      <c r="K26" s="17">
        <v>5</v>
      </c>
      <c r="L26" s="19" t="str">
        <f ca="1">IF($B$2="","5. Gruppe C",INDIRECT(ADDRESS(MATCH(K26,$A$1:$A$20,0),MATCH(J26,$A$6:$AE$6,0))))</f>
        <v>5. Gruppe C</v>
      </c>
      <c r="M26" s="18" t="s">
        <v>31</v>
      </c>
      <c r="N26" s="17">
        <v>5</v>
      </c>
      <c r="O26" s="19" t="str">
        <f ca="1">IF($O$2="","5. Gruppe G",INDIRECT(ADDRESS(MATCH(N26,$A$1:$A$20,0),MATCH(M26,$A$6:$AE$6,0))))</f>
        <v>5. Gruppe G</v>
      </c>
      <c r="P26" s="21"/>
      <c r="Q26" s="17"/>
      <c r="R26" s="20" t="s">
        <v>50</v>
      </c>
      <c r="S26" s="23"/>
      <c r="T26" s="22">
        <f t="shared" si="0"/>
      </c>
      <c r="U26" s="20" t="s">
        <v>50</v>
      </c>
      <c r="V26" s="23">
        <f t="shared" si="1"/>
      </c>
      <c r="X26" s="20" t="s">
        <v>51</v>
      </c>
      <c r="Y26" s="20" t="s">
        <v>51</v>
      </c>
      <c r="AA26" s="7" t="s">
        <v>98</v>
      </c>
      <c r="AB26" s="7" t="s">
        <v>99</v>
      </c>
    </row>
    <row r="27" spans="2:28" ht="12.75">
      <c r="B27" s="7">
        <f>+B23+1</f>
        <v>27</v>
      </c>
      <c r="C27" s="10">
        <v>0.3923611111111111</v>
      </c>
      <c r="D27" s="7">
        <f t="shared" si="2"/>
        <v>85</v>
      </c>
      <c r="E27" s="7">
        <v>1</v>
      </c>
      <c r="F27" s="11" t="s">
        <v>29</v>
      </c>
      <c r="G27" s="7">
        <v>4</v>
      </c>
      <c r="H27" s="12" t="str">
        <f ca="1">IF($H$2="","4. Gruppe E",INDIRECT(ADDRESS(MATCH(G27,$A$1:$A$20,0),MATCH(F27,$A$6:$AE$6,0))))</f>
        <v>4. Gruppe E</v>
      </c>
      <c r="I27" s="13" t="s">
        <v>49</v>
      </c>
      <c r="J27" s="11" t="s">
        <v>29</v>
      </c>
      <c r="K27" s="7">
        <v>15</v>
      </c>
      <c r="L27" s="12" t="str">
        <f ca="1">IF($H$2="","5. Gruppe F",INDIRECT(ADDRESS(MATCH(K27,$A$1:$A$20,0),MATCH(J27,$A$6:$AE$6,0))))</f>
        <v>5. Gruppe F</v>
      </c>
      <c r="M27" s="11" t="s">
        <v>28</v>
      </c>
      <c r="N27" s="7">
        <v>4</v>
      </c>
      <c r="O27" s="12" t="str">
        <f ca="1">IF($L$2="","4. Gruppe A",INDIRECT(ADDRESS(MATCH(N27,$A$1:$A$20,0),MATCH(M27,$A$6:$AE$6,0))))</f>
        <v>4. Gruppe A</v>
      </c>
      <c r="P27" s="14"/>
      <c r="Q27" s="7"/>
      <c r="R27" s="13" t="s">
        <v>50</v>
      </c>
      <c r="S27" s="16"/>
      <c r="T27" s="15">
        <f t="shared" si="0"/>
      </c>
      <c r="U27" s="13" t="s">
        <v>50</v>
      </c>
      <c r="V27" s="16">
        <f t="shared" si="1"/>
      </c>
      <c r="X27" s="13" t="s">
        <v>51</v>
      </c>
      <c r="Y27" s="13" t="s">
        <v>51</v>
      </c>
      <c r="AA27" s="7" t="s">
        <v>98</v>
      </c>
      <c r="AB27" s="7" t="s">
        <v>99</v>
      </c>
    </row>
    <row r="28" spans="2:28" ht="12.75">
      <c r="B28" s="7"/>
      <c r="C28" s="7"/>
      <c r="D28" s="7">
        <f t="shared" si="2"/>
        <v>86</v>
      </c>
      <c r="E28" s="7">
        <v>2</v>
      </c>
      <c r="F28" s="11" t="s">
        <v>29</v>
      </c>
      <c r="G28" s="7">
        <v>14</v>
      </c>
      <c r="H28" s="12" t="str">
        <f ca="1">IF($H$2="","4. Gruppe F",INDIRECT(ADDRESS(MATCH(G28,$A$1:$A$20,0),MATCH(F28,$A$6:$AE$6,0))))</f>
        <v>4. Gruppe F</v>
      </c>
      <c r="I28" s="13" t="s">
        <v>49</v>
      </c>
      <c r="J28" s="11" t="s">
        <v>29</v>
      </c>
      <c r="K28" s="7">
        <v>5</v>
      </c>
      <c r="L28" s="12" t="str">
        <f ca="1">IF($H$2="","5. Gruppe E",INDIRECT(ADDRESS(MATCH(K28,$A$1:$A$20,0),MATCH(J28,$A$6:$AE$6,0))))</f>
        <v>5. Gruppe E</v>
      </c>
      <c r="M28" s="11" t="s">
        <v>28</v>
      </c>
      <c r="N28" s="7">
        <v>5</v>
      </c>
      <c r="O28" s="12" t="str">
        <f ca="1">IF($L$2="","5. Gruppe A",INDIRECT(ADDRESS(MATCH(N28,$A$1:$A$20,0),MATCH(M28,$A$6:$AE$6,0))))</f>
        <v>5. Gruppe A</v>
      </c>
      <c r="P28" s="14"/>
      <c r="Q28" s="7"/>
      <c r="R28" s="13" t="s">
        <v>50</v>
      </c>
      <c r="S28" s="16"/>
      <c r="T28" s="15">
        <f t="shared" si="0"/>
      </c>
      <c r="U28" s="13" t="s">
        <v>50</v>
      </c>
      <c r="V28" s="16">
        <f t="shared" si="1"/>
      </c>
      <c r="X28" s="13" t="s">
        <v>51</v>
      </c>
      <c r="Y28" s="13" t="s">
        <v>51</v>
      </c>
      <c r="AA28" s="7" t="s">
        <v>98</v>
      </c>
      <c r="AB28" s="7" t="s">
        <v>99</v>
      </c>
    </row>
    <row r="29" spans="2:28" ht="12.75">
      <c r="B29" s="7"/>
      <c r="C29" s="7"/>
      <c r="D29" s="7">
        <f t="shared" si="2"/>
        <v>87</v>
      </c>
      <c r="E29" s="7">
        <v>3</v>
      </c>
      <c r="F29" s="11" t="s">
        <v>31</v>
      </c>
      <c r="G29" s="7">
        <v>4</v>
      </c>
      <c r="H29" s="12" t="str">
        <f ca="1">IF($O$2="","4. Gruppe G",INDIRECT(ADDRESS(MATCH(G29,$A$1:$A$20,0),MATCH(F29,$A$6:$AE$6,0))))</f>
        <v>4. Gruppe G</v>
      </c>
      <c r="I29" s="13" t="s">
        <v>49</v>
      </c>
      <c r="J29" s="11" t="s">
        <v>31</v>
      </c>
      <c r="K29" s="7">
        <v>15</v>
      </c>
      <c r="L29" s="12" t="str">
        <f ca="1">IF($O$2="","5. Gruppe H",INDIRECT(ADDRESS(MATCH(K29,$A$1:$A$20,0),MATCH(J29,$A$6:$AE$6,0))))</f>
        <v>5. Gruppe H</v>
      </c>
      <c r="M29" s="11" t="s">
        <v>30</v>
      </c>
      <c r="N29" s="7">
        <v>4</v>
      </c>
      <c r="O29" s="12" t="str">
        <f ca="1">IF($B$2="","4. Gruppe C",INDIRECT(ADDRESS(MATCH(N29,$A$1:$A$20,0),MATCH(M29,$A$6:$AE$6,0))))</f>
        <v>4. Gruppe C</v>
      </c>
      <c r="P29" s="14"/>
      <c r="Q29" s="7"/>
      <c r="R29" s="13" t="s">
        <v>50</v>
      </c>
      <c r="S29" s="16"/>
      <c r="T29" s="15">
        <f t="shared" si="0"/>
      </c>
      <c r="U29" s="13" t="s">
        <v>50</v>
      </c>
      <c r="V29" s="16">
        <f t="shared" si="1"/>
      </c>
      <c r="X29" s="13" t="s">
        <v>51</v>
      </c>
      <c r="Y29" s="13" t="s">
        <v>51</v>
      </c>
      <c r="AA29" s="7" t="s">
        <v>98</v>
      </c>
      <c r="AB29" s="7" t="s">
        <v>99</v>
      </c>
    </row>
    <row r="30" spans="2:28" ht="12.75">
      <c r="B30" s="17"/>
      <c r="C30" s="29"/>
      <c r="D30" s="17">
        <f t="shared" si="2"/>
        <v>88</v>
      </c>
      <c r="E30" s="17">
        <v>4</v>
      </c>
      <c r="F30" s="18" t="s">
        <v>31</v>
      </c>
      <c r="G30" s="17">
        <v>14</v>
      </c>
      <c r="H30" s="19" t="str">
        <f ca="1">IF($O$2="","4. Gruppe H",INDIRECT(ADDRESS(MATCH(G30,$A$1:$A$20,0),MATCH(F30,$A$6:$AE$6,0))))</f>
        <v>4. Gruppe H</v>
      </c>
      <c r="I30" s="20" t="s">
        <v>49</v>
      </c>
      <c r="J30" s="18" t="s">
        <v>31</v>
      </c>
      <c r="K30" s="17">
        <v>5</v>
      </c>
      <c r="L30" s="19" t="str">
        <f ca="1">IF($O$2="","5. Gruppe G",INDIRECT(ADDRESS(MATCH(K30,$A$1:$A$20,0),MATCH(J30,$A$6:$AE$6,0))))</f>
        <v>5. Gruppe G</v>
      </c>
      <c r="M30" s="18" t="s">
        <v>30</v>
      </c>
      <c r="N30" s="17">
        <v>5</v>
      </c>
      <c r="O30" s="19" t="str">
        <f ca="1">IF($B$2="","5. Gruppe C",INDIRECT(ADDRESS(MATCH(N30,$A$1:$A$20,0),MATCH(M30,$A$6:$AE$6,0))))</f>
        <v>5. Gruppe C</v>
      </c>
      <c r="P30" s="21"/>
      <c r="Q30" s="17"/>
      <c r="R30" s="20" t="s">
        <v>50</v>
      </c>
      <c r="S30" s="23"/>
      <c r="T30" s="22">
        <f t="shared" si="0"/>
      </c>
      <c r="U30" s="20" t="s">
        <v>50</v>
      </c>
      <c r="V30" s="23">
        <f t="shared" si="1"/>
      </c>
      <c r="X30" s="20" t="s">
        <v>51</v>
      </c>
      <c r="Y30" s="20" t="s">
        <v>51</v>
      </c>
      <c r="AA30" s="7" t="s">
        <v>98</v>
      </c>
      <c r="AB30" s="7" t="s">
        <v>99</v>
      </c>
    </row>
    <row r="31" spans="2:28" ht="12.75" customHeight="1">
      <c r="B31" s="7">
        <f>+B27+1</f>
        <v>28</v>
      </c>
      <c r="C31" s="10">
        <v>0.4097222222222222</v>
      </c>
      <c r="D31" s="7">
        <f t="shared" si="2"/>
        <v>89</v>
      </c>
      <c r="E31" s="7">
        <v>1</v>
      </c>
      <c r="F31" s="11" t="s">
        <v>28</v>
      </c>
      <c r="G31" s="7"/>
      <c r="H31" s="12" t="str">
        <f>IF($T$23="","Platz 9 / V. "&amp;D23,IF(T23=0,H23,L23))</f>
        <v>Platz 9 / V. 81</v>
      </c>
      <c r="I31" s="13" t="s">
        <v>49</v>
      </c>
      <c r="J31" s="11" t="s">
        <v>28</v>
      </c>
      <c r="K31" s="7"/>
      <c r="L31" s="12" t="str">
        <f>IF($T$24="","V. "&amp;D24,IF(T24=0,H24,L24))</f>
        <v>V. 82</v>
      </c>
      <c r="M31" s="11" t="s">
        <v>29</v>
      </c>
      <c r="N31" s="7">
        <v>15</v>
      </c>
      <c r="O31" s="12" t="str">
        <f ca="1">IF($O$2="","5. Gruppe H",INDIRECT(ADDRESS(MATCH(N31,$A$1:$A$20,0),MATCH(M31,$A$6:$AE$6,0))))</f>
        <v>5. Gruppe H</v>
      </c>
      <c r="P31" s="14"/>
      <c r="Q31" s="7"/>
      <c r="R31" s="13" t="s">
        <v>50</v>
      </c>
      <c r="S31" s="16"/>
      <c r="T31" s="15">
        <f t="shared" si="0"/>
      </c>
      <c r="U31" s="13" t="s">
        <v>50</v>
      </c>
      <c r="V31" s="16">
        <f t="shared" si="1"/>
      </c>
      <c r="X31" s="13" t="s">
        <v>51</v>
      </c>
      <c r="Y31" s="13" t="s">
        <v>51</v>
      </c>
      <c r="AA31" s="7" t="s">
        <v>100</v>
      </c>
      <c r="AB31" s="4" t="s">
        <v>101</v>
      </c>
    </row>
    <row r="32" spans="2:28" ht="12.75">
      <c r="B32" s="7"/>
      <c r="C32" s="7"/>
      <c r="D32" s="7">
        <f t="shared" si="2"/>
        <v>90</v>
      </c>
      <c r="E32" s="7">
        <v>2</v>
      </c>
      <c r="F32" s="11" t="s">
        <v>28</v>
      </c>
      <c r="G32" s="24"/>
      <c r="H32" s="12" t="str">
        <f>IF($T$23="","Platz 7 / S. "&amp;D23,IF(T23=2,H23,L23))</f>
        <v>Platz 7 / S. 81</v>
      </c>
      <c r="I32" s="30" t="s">
        <v>49</v>
      </c>
      <c r="J32" s="11" t="s">
        <v>28</v>
      </c>
      <c r="K32" s="24"/>
      <c r="L32" s="12" t="str">
        <f>IF($T$24="","S. "&amp;D24,IF(T24=2,H24,L24))</f>
        <v>S. 82</v>
      </c>
      <c r="M32" s="25" t="s">
        <v>29</v>
      </c>
      <c r="N32" s="24">
        <v>14</v>
      </c>
      <c r="O32" s="12" t="str">
        <f ca="1">IF($O$2="","4. Gruppe H",INDIRECT(ADDRESS(MATCH(N32,$A$1:$A$20,0),MATCH(M32,$A$6:$AE$6,0))))</f>
        <v>4. Gruppe H</v>
      </c>
      <c r="P32" s="14"/>
      <c r="Q32" s="7"/>
      <c r="R32" s="13" t="s">
        <v>50</v>
      </c>
      <c r="S32" s="16"/>
      <c r="T32" s="15">
        <f t="shared" si="0"/>
      </c>
      <c r="U32" s="13" t="s">
        <v>50</v>
      </c>
      <c r="V32" s="16">
        <f t="shared" si="1"/>
      </c>
      <c r="X32" s="13" t="s">
        <v>51</v>
      </c>
      <c r="Y32" s="13" t="s">
        <v>51</v>
      </c>
      <c r="AA32" s="7" t="s">
        <v>100</v>
      </c>
      <c r="AB32" s="4" t="s">
        <v>102</v>
      </c>
    </row>
    <row r="33" spans="2:28" ht="12.75">
      <c r="B33" s="7"/>
      <c r="C33" s="7"/>
      <c r="D33" s="7">
        <f t="shared" si="2"/>
        <v>91</v>
      </c>
      <c r="E33" s="7">
        <v>3</v>
      </c>
      <c r="F33" s="11" t="s">
        <v>30</v>
      </c>
      <c r="G33" s="7"/>
      <c r="H33" s="12" t="str">
        <f>IF($T$25="","Platz 9 / V. "&amp;D25,IF(T25=0,H25,L25))</f>
        <v>Platz 9 / V. 83</v>
      </c>
      <c r="I33" s="13" t="s">
        <v>49</v>
      </c>
      <c r="J33" s="11" t="s">
        <v>30</v>
      </c>
      <c r="K33" s="7"/>
      <c r="L33" s="12" t="str">
        <f>IF($T$26="","V. "&amp;D26,IF(T26=0,H26,L26))</f>
        <v>V. 84</v>
      </c>
      <c r="M33" s="11" t="s">
        <v>31</v>
      </c>
      <c r="N33" s="7">
        <v>14</v>
      </c>
      <c r="O33" s="12" t="str">
        <f ca="1">IF($O$2="","4. Gruppe F",INDIRECT(ADDRESS(MATCH(N33,$A$1:$A$20,0),MATCH(M33,$A$6:$AE$6,0))))</f>
        <v>4. Gruppe F</v>
      </c>
      <c r="P33" s="14"/>
      <c r="Q33" s="7"/>
      <c r="R33" s="13" t="s">
        <v>50</v>
      </c>
      <c r="S33" s="16"/>
      <c r="T33" s="15">
        <f t="shared" si="0"/>
      </c>
      <c r="U33" s="13" t="s">
        <v>50</v>
      </c>
      <c r="V33" s="16">
        <f t="shared" si="1"/>
      </c>
      <c r="X33" s="13" t="s">
        <v>51</v>
      </c>
      <c r="Y33" s="13" t="s">
        <v>51</v>
      </c>
      <c r="AA33" s="7" t="s">
        <v>100</v>
      </c>
      <c r="AB33" s="4" t="s">
        <v>101</v>
      </c>
    </row>
    <row r="34" spans="2:28" ht="12.75">
      <c r="B34" s="17"/>
      <c r="C34" s="17"/>
      <c r="D34" s="17">
        <f t="shared" si="2"/>
        <v>92</v>
      </c>
      <c r="E34" s="17">
        <v>4</v>
      </c>
      <c r="F34" s="18" t="s">
        <v>30</v>
      </c>
      <c r="G34" s="17"/>
      <c r="H34" s="19" t="str">
        <f>IF($T$25="","Platz 7 / S. "&amp;D25,IF(T25=2,H25,L25))</f>
        <v>Platz 7 / S. 83</v>
      </c>
      <c r="I34" s="20" t="s">
        <v>49</v>
      </c>
      <c r="J34" s="18" t="s">
        <v>30</v>
      </c>
      <c r="K34" s="17"/>
      <c r="L34" s="19" t="str">
        <f>IF($T$26="","S. "&amp;D26,IF(T26=2,H26,L26))</f>
        <v>S. 84</v>
      </c>
      <c r="M34" s="18" t="s">
        <v>31</v>
      </c>
      <c r="N34" s="17">
        <v>15</v>
      </c>
      <c r="O34" s="19" t="str">
        <f ca="1">IF($O$2="","5. Gruppe F",INDIRECT(ADDRESS(MATCH(N34,$A$1:$A$20,0),MATCH(M34,$A$6:$AE$6,0))))</f>
        <v>5. Gruppe F</v>
      </c>
      <c r="P34" s="21"/>
      <c r="Q34" s="17"/>
      <c r="R34" s="20" t="s">
        <v>50</v>
      </c>
      <c r="S34" s="23"/>
      <c r="T34" s="22">
        <f t="shared" si="0"/>
      </c>
      <c r="U34" s="20" t="s">
        <v>50</v>
      </c>
      <c r="V34" s="23">
        <f t="shared" si="1"/>
      </c>
      <c r="X34" s="20" t="s">
        <v>51</v>
      </c>
      <c r="Y34" s="20" t="s">
        <v>51</v>
      </c>
      <c r="AA34" s="7" t="s">
        <v>100</v>
      </c>
      <c r="AB34" s="4" t="s">
        <v>102</v>
      </c>
    </row>
    <row r="35" spans="2:28" ht="12.75">
      <c r="B35" s="7">
        <f>+B31+1</f>
        <v>29</v>
      </c>
      <c r="C35" s="10">
        <v>0.4270833333333333</v>
      </c>
      <c r="D35" s="7">
        <f t="shared" si="2"/>
        <v>93</v>
      </c>
      <c r="E35" s="7">
        <v>1</v>
      </c>
      <c r="F35" s="11" t="s">
        <v>29</v>
      </c>
      <c r="G35" s="7"/>
      <c r="H35" s="12" t="str">
        <f>IF($T$27="","Platz 9 / V. "&amp;D27,IF(T27=0,H27,L27))</f>
        <v>Platz 9 / V. 85</v>
      </c>
      <c r="I35" s="13" t="s">
        <v>49</v>
      </c>
      <c r="J35" s="11" t="s">
        <v>29</v>
      </c>
      <c r="K35" s="7"/>
      <c r="L35" s="12" t="str">
        <f>IF($T$28="","V. "&amp;D28,IF(T28=0,H28,L28))</f>
        <v>V. 86</v>
      </c>
      <c r="M35" s="11" t="s">
        <v>28</v>
      </c>
      <c r="N35" s="7">
        <v>14</v>
      </c>
      <c r="O35" s="12" t="str">
        <f ca="1">IF($L$2="","4. Gruppe B",INDIRECT(ADDRESS(MATCH(N35,$A$1:$A$20,0),MATCH(M35,$A$6:$AE$6,0))))</f>
        <v>4. Gruppe B</v>
      </c>
      <c r="P35" s="14"/>
      <c r="Q35" s="7"/>
      <c r="R35" s="13" t="s">
        <v>50</v>
      </c>
      <c r="S35" s="16"/>
      <c r="T35" s="15">
        <f t="shared" si="0"/>
      </c>
      <c r="U35" s="13" t="s">
        <v>50</v>
      </c>
      <c r="V35" s="16">
        <f t="shared" si="1"/>
      </c>
      <c r="X35" s="13" t="s">
        <v>51</v>
      </c>
      <c r="Y35" s="13" t="s">
        <v>51</v>
      </c>
      <c r="AA35" s="7" t="s">
        <v>100</v>
      </c>
      <c r="AB35" s="4" t="s">
        <v>101</v>
      </c>
    </row>
    <row r="36" spans="2:28" ht="12.75">
      <c r="B36" s="7"/>
      <c r="C36" s="7"/>
      <c r="D36" s="7">
        <f t="shared" si="2"/>
        <v>94</v>
      </c>
      <c r="E36" s="7">
        <v>2</v>
      </c>
      <c r="F36" s="11" t="s">
        <v>29</v>
      </c>
      <c r="G36" s="7"/>
      <c r="H36" s="12" t="str">
        <f>IF($T$27="","Platz 7 / S. "&amp;D27,IF(T27=2,H27,L27))</f>
        <v>Platz 7 / S. 85</v>
      </c>
      <c r="I36" s="13" t="s">
        <v>49</v>
      </c>
      <c r="J36" s="11" t="s">
        <v>29</v>
      </c>
      <c r="K36" s="7"/>
      <c r="L36" s="12" t="str">
        <f>IF($T$28="","S. "&amp;D28,IF(T28=2,H28,L28))</f>
        <v>S. 86</v>
      </c>
      <c r="M36" s="11" t="s">
        <v>28</v>
      </c>
      <c r="N36" s="7">
        <v>15</v>
      </c>
      <c r="O36" s="12" t="str">
        <f ca="1">IF($L$2="","5. Gruppe B",INDIRECT(ADDRESS(MATCH(N36,$A$1:$A$20,0),MATCH(M36,$A$6:$AE$6,0))))</f>
        <v>5. Gruppe B</v>
      </c>
      <c r="P36" s="14"/>
      <c r="Q36" s="7"/>
      <c r="R36" s="13" t="s">
        <v>50</v>
      </c>
      <c r="S36" s="16"/>
      <c r="T36" s="15">
        <f t="shared" si="0"/>
      </c>
      <c r="U36" s="13" t="s">
        <v>50</v>
      </c>
      <c r="V36" s="16">
        <f t="shared" si="1"/>
      </c>
      <c r="X36" s="13" t="s">
        <v>51</v>
      </c>
      <c r="Y36" s="13" t="s">
        <v>51</v>
      </c>
      <c r="AA36" s="7" t="s">
        <v>100</v>
      </c>
      <c r="AB36" s="4" t="s">
        <v>102</v>
      </c>
    </row>
    <row r="37" spans="2:28" ht="12.75">
      <c r="B37" s="7"/>
      <c r="C37" s="7"/>
      <c r="D37" s="7">
        <f t="shared" si="2"/>
        <v>95</v>
      </c>
      <c r="E37" s="7">
        <v>3</v>
      </c>
      <c r="F37" s="11" t="s">
        <v>31</v>
      </c>
      <c r="G37" s="7"/>
      <c r="H37" s="12" t="str">
        <f>IF($T$29="","Platz 9 / V. "&amp;D29,IF(T29=0,H29,L29))</f>
        <v>Platz 9 / V. 87</v>
      </c>
      <c r="I37" s="13" t="s">
        <v>49</v>
      </c>
      <c r="J37" s="11" t="s">
        <v>31</v>
      </c>
      <c r="K37" s="7"/>
      <c r="L37" s="12" t="str">
        <f>IF($T$30="","V. "&amp;D30,IF(T30=0,H30,L30))</f>
        <v>V. 88</v>
      </c>
      <c r="M37" s="11" t="s">
        <v>30</v>
      </c>
      <c r="N37" s="7">
        <v>15</v>
      </c>
      <c r="O37" s="12" t="str">
        <f ca="1">IF($B$2="","5. Gruppe D",INDIRECT(ADDRESS(MATCH(N37,$A$1:$A$20,0),MATCH(M37,$A$6:$AE$6,0))))</f>
        <v>5. Gruppe D</v>
      </c>
      <c r="P37" s="14"/>
      <c r="Q37" s="7"/>
      <c r="R37" s="13" t="s">
        <v>50</v>
      </c>
      <c r="S37" s="16"/>
      <c r="T37" s="15">
        <f t="shared" si="0"/>
      </c>
      <c r="U37" s="13" t="s">
        <v>50</v>
      </c>
      <c r="V37" s="16">
        <f t="shared" si="1"/>
      </c>
      <c r="X37" s="13" t="s">
        <v>51</v>
      </c>
      <c r="Y37" s="13" t="s">
        <v>51</v>
      </c>
      <c r="AA37" s="7" t="s">
        <v>100</v>
      </c>
      <c r="AB37" s="4" t="s">
        <v>101</v>
      </c>
    </row>
    <row r="38" spans="2:28" ht="12.75">
      <c r="B38" s="17"/>
      <c r="C38" s="29"/>
      <c r="D38" s="17">
        <f t="shared" si="2"/>
        <v>96</v>
      </c>
      <c r="E38" s="17">
        <v>4</v>
      </c>
      <c r="F38" s="18" t="s">
        <v>31</v>
      </c>
      <c r="G38" s="17"/>
      <c r="H38" s="19" t="str">
        <f>IF($T$29="","Platz 7 / S. "&amp;D29,IF(T29=2,H29,L29))</f>
        <v>Platz 7 / S. 87</v>
      </c>
      <c r="I38" s="20" t="s">
        <v>49</v>
      </c>
      <c r="J38" s="18" t="s">
        <v>31</v>
      </c>
      <c r="K38" s="17"/>
      <c r="L38" s="19" t="str">
        <f>IF($T$30="","S. "&amp;D30,IF(T30=2,H30,L30))</f>
        <v>S. 88</v>
      </c>
      <c r="M38" s="18" t="s">
        <v>30</v>
      </c>
      <c r="N38" s="17">
        <v>14</v>
      </c>
      <c r="O38" s="19" t="str">
        <f ca="1">IF($B$2="","4. Gruppe D",INDIRECT(ADDRESS(MATCH(N38,$A$1:$A$20,0),MATCH(M38,$A$6:$AE$6,0))))</f>
        <v>4. Gruppe D</v>
      </c>
      <c r="P38" s="21"/>
      <c r="Q38" s="17"/>
      <c r="R38" s="20" t="s">
        <v>50</v>
      </c>
      <c r="S38" s="23"/>
      <c r="T38" s="22">
        <f t="shared" si="0"/>
      </c>
      <c r="U38" s="20" t="s">
        <v>50</v>
      </c>
      <c r="V38" s="23">
        <f t="shared" si="1"/>
      </c>
      <c r="X38" s="20" t="s">
        <v>51</v>
      </c>
      <c r="Y38" s="20" t="s">
        <v>51</v>
      </c>
      <c r="AA38" s="7" t="s">
        <v>100</v>
      </c>
      <c r="AB38" s="4" t="s">
        <v>102</v>
      </c>
    </row>
    <row r="39" spans="2:28" ht="12.75">
      <c r="B39" s="7">
        <f>+B35+1</f>
        <v>30</v>
      </c>
      <c r="C39" s="10">
        <v>0.4583333333333333</v>
      </c>
      <c r="D39" s="7">
        <f t="shared" si="2"/>
        <v>97</v>
      </c>
      <c r="E39" s="7">
        <v>1</v>
      </c>
      <c r="F39" s="11" t="s">
        <v>28</v>
      </c>
      <c r="G39" s="7">
        <v>2</v>
      </c>
      <c r="H39" s="12" t="str">
        <f ca="1">IF($L$2="","2. Gruppe A",INDIRECT(ADDRESS(MATCH(G39,$A$1:$A$20,0),MATCH(F39,$A$6:$AE$6,0))))</f>
        <v>2. Gruppe A</v>
      </c>
      <c r="I39" s="13" t="s">
        <v>49</v>
      </c>
      <c r="J39" s="11" t="s">
        <v>28</v>
      </c>
      <c r="K39" s="7">
        <v>13</v>
      </c>
      <c r="L39" s="12" t="str">
        <f ca="1">IF($L$2="","3. Gruppe B",INDIRECT(ADDRESS(MATCH(K39,$A$1:$A$20,0),MATCH(J39,$A$6:$AE$6,0))))</f>
        <v>3. Gruppe B</v>
      </c>
      <c r="M39" s="11" t="s">
        <v>28</v>
      </c>
      <c r="N39" s="7">
        <v>12</v>
      </c>
      <c r="O39" s="12" t="str">
        <f ca="1">IF($L$2="","2. Gruppe B",INDIRECT(ADDRESS(MATCH(N39,$A$1:$A$20,0),MATCH(M39,$A$6:$AE$6,0))))</f>
        <v>2. Gruppe B</v>
      </c>
      <c r="P39" s="14"/>
      <c r="Q39" s="7"/>
      <c r="R39" s="13" t="s">
        <v>50</v>
      </c>
      <c r="S39" s="16"/>
      <c r="T39" s="15">
        <f t="shared" si="0"/>
      </c>
      <c r="U39" s="13" t="s">
        <v>50</v>
      </c>
      <c r="V39" s="16">
        <f t="shared" si="1"/>
      </c>
      <c r="X39" s="13" t="s">
        <v>51</v>
      </c>
      <c r="Y39" s="13" t="s">
        <v>51</v>
      </c>
      <c r="AA39" s="7" t="s">
        <v>103</v>
      </c>
      <c r="AB39" s="4" t="s">
        <v>104</v>
      </c>
    </row>
    <row r="40" spans="2:28" ht="12.75">
      <c r="B40" s="7"/>
      <c r="C40" s="7"/>
      <c r="D40" s="7">
        <f t="shared" si="2"/>
        <v>98</v>
      </c>
      <c r="E40" s="7">
        <v>2</v>
      </c>
      <c r="F40" s="11" t="s">
        <v>30</v>
      </c>
      <c r="G40" s="7">
        <v>2</v>
      </c>
      <c r="H40" s="12" t="str">
        <f ca="1">IF($B$2="","2. Gruppe C",INDIRECT(ADDRESS(MATCH(G40,$A$1:$A$20,0),MATCH(F40,$A$6:$AE$6,0))))</f>
        <v>2. Gruppe C</v>
      </c>
      <c r="I40" s="13" t="s">
        <v>49</v>
      </c>
      <c r="J40" s="11" t="s">
        <v>30</v>
      </c>
      <c r="K40" s="7">
        <v>13</v>
      </c>
      <c r="L40" s="12" t="str">
        <f ca="1">IF($B$2="","3. Gruppe D",INDIRECT(ADDRESS(MATCH(K40,$A$1:$A$20,0),MATCH(J40,$A$6:$AE$6,0))))</f>
        <v>3. Gruppe D</v>
      </c>
      <c r="M40" s="11" t="s">
        <v>30</v>
      </c>
      <c r="N40" s="7">
        <v>12</v>
      </c>
      <c r="O40" s="12" t="str">
        <f ca="1">IF($B$2="","2. Gruppe D",INDIRECT(ADDRESS(MATCH(N40,$A$1:$A$20,0),MATCH(M40,$A$6:$AE$6,0))))</f>
        <v>2. Gruppe D</v>
      </c>
      <c r="P40" s="14"/>
      <c r="Q40" s="7"/>
      <c r="R40" s="13" t="s">
        <v>50</v>
      </c>
      <c r="S40" s="16"/>
      <c r="T40" s="15">
        <f t="shared" si="0"/>
      </c>
      <c r="U40" s="13" t="s">
        <v>50</v>
      </c>
      <c r="V40" s="16">
        <f t="shared" si="1"/>
      </c>
      <c r="X40" s="13" t="s">
        <v>51</v>
      </c>
      <c r="Y40" s="13" t="s">
        <v>51</v>
      </c>
      <c r="AA40" s="7" t="s">
        <v>103</v>
      </c>
      <c r="AB40" s="4" t="s">
        <v>104</v>
      </c>
    </row>
    <row r="41" spans="2:28" ht="12.75">
      <c r="B41" s="7"/>
      <c r="C41" s="7"/>
      <c r="D41" s="7">
        <f t="shared" si="2"/>
        <v>99</v>
      </c>
      <c r="E41" s="7">
        <v>3</v>
      </c>
      <c r="F41" s="11" t="s">
        <v>29</v>
      </c>
      <c r="G41" s="7">
        <v>2</v>
      </c>
      <c r="H41" s="12" t="str">
        <f ca="1">IF($H$2="","2. Gruppe E",INDIRECT(ADDRESS(MATCH(G41,$A$1:$A$20,0),MATCH(F41,$A$6:$AE$6,0))))</f>
        <v>2. Gruppe E</v>
      </c>
      <c r="I41" s="13" t="s">
        <v>49</v>
      </c>
      <c r="J41" s="11" t="s">
        <v>29</v>
      </c>
      <c r="K41" s="7">
        <v>13</v>
      </c>
      <c r="L41" s="12" t="str">
        <f ca="1">IF($H$2="","3. Gruppe F",INDIRECT(ADDRESS(MATCH(K41,$A$1:$A$20,0),MATCH(J41,$A$6:$AE$6,0))))</f>
        <v>3. Gruppe F</v>
      </c>
      <c r="M41" s="11" t="s">
        <v>29</v>
      </c>
      <c r="N41" s="7">
        <v>12</v>
      </c>
      <c r="O41" s="12" t="str">
        <f ca="1">IF($H$2="","2. Gruppe F",INDIRECT(ADDRESS(MATCH(N41,$A$1:$A$20,0),MATCH(M41,$A$6:$AE$6,0))))</f>
        <v>2. Gruppe F</v>
      </c>
      <c r="P41" s="14"/>
      <c r="Q41" s="7"/>
      <c r="R41" s="13" t="s">
        <v>50</v>
      </c>
      <c r="S41" s="16"/>
      <c r="T41" s="15">
        <f t="shared" si="0"/>
      </c>
      <c r="U41" s="13" t="s">
        <v>50</v>
      </c>
      <c r="V41" s="16">
        <f t="shared" si="1"/>
      </c>
      <c r="X41" s="13" t="s">
        <v>51</v>
      </c>
      <c r="Y41" s="13" t="s">
        <v>51</v>
      </c>
      <c r="AA41" s="7" t="s">
        <v>103</v>
      </c>
      <c r="AB41" s="4" t="s">
        <v>104</v>
      </c>
    </row>
    <row r="42" spans="2:28" ht="12.75">
      <c r="B42" s="17"/>
      <c r="C42" s="17"/>
      <c r="D42" s="17">
        <f t="shared" si="2"/>
        <v>100</v>
      </c>
      <c r="E42" s="17">
        <v>4</v>
      </c>
      <c r="F42" s="18" t="s">
        <v>31</v>
      </c>
      <c r="G42" s="17">
        <v>2</v>
      </c>
      <c r="H42" s="19" t="str">
        <f ca="1">IF($O$2="","2. Gruppe G",INDIRECT(ADDRESS(MATCH(G42,$A$1:$A$20,0),MATCH(F42,$A$6:$AE$6,0))))</f>
        <v>2. Gruppe G</v>
      </c>
      <c r="I42" s="20" t="s">
        <v>49</v>
      </c>
      <c r="J42" s="18" t="s">
        <v>31</v>
      </c>
      <c r="K42" s="17">
        <v>13</v>
      </c>
      <c r="L42" s="19" t="str">
        <f ca="1">IF($O$2="","3. Gruppe H",INDIRECT(ADDRESS(MATCH(K42,$A$1:$A$20,0),MATCH(J42,$A$6:$AE$6,0))))</f>
        <v>3. Gruppe H</v>
      </c>
      <c r="M42" s="18" t="s">
        <v>31</v>
      </c>
      <c r="N42" s="17">
        <v>12</v>
      </c>
      <c r="O42" s="19" t="str">
        <f ca="1">IF($O$2="","2. Gruppe H",INDIRECT(ADDRESS(MATCH(N42,$A$1:$A$20,0),MATCH(M42,$A$6:$AE$6,0))))</f>
        <v>2. Gruppe H</v>
      </c>
      <c r="P42" s="21"/>
      <c r="Q42" s="17"/>
      <c r="R42" s="20" t="s">
        <v>50</v>
      </c>
      <c r="S42" s="23"/>
      <c r="T42" s="22">
        <f t="shared" si="0"/>
      </c>
      <c r="U42" s="20" t="s">
        <v>50</v>
      </c>
      <c r="V42" s="23">
        <f t="shared" si="1"/>
      </c>
      <c r="X42" s="20" t="s">
        <v>51</v>
      </c>
      <c r="Y42" s="20" t="s">
        <v>51</v>
      </c>
      <c r="AA42" s="7" t="s">
        <v>103</v>
      </c>
      <c r="AB42" s="4" t="s">
        <v>104</v>
      </c>
    </row>
    <row r="43" spans="2:28" ht="12.75">
      <c r="B43" s="7">
        <f>+B39+1</f>
        <v>31</v>
      </c>
      <c r="C43" s="10">
        <v>0.4756944444444444</v>
      </c>
      <c r="D43" s="7">
        <f t="shared" si="2"/>
        <v>101</v>
      </c>
      <c r="E43" s="7">
        <v>1</v>
      </c>
      <c r="F43" s="11" t="s">
        <v>28</v>
      </c>
      <c r="G43" s="7">
        <v>12</v>
      </c>
      <c r="H43" s="12" t="str">
        <f ca="1">IF($L$2="","2. Gruppe B",INDIRECT(ADDRESS(MATCH(G43,$A$1:$A$20,0),MATCH(F43,$A$6:$AE$6,0))))</f>
        <v>2. Gruppe B</v>
      </c>
      <c r="I43" s="13" t="s">
        <v>49</v>
      </c>
      <c r="J43" s="11" t="s">
        <v>28</v>
      </c>
      <c r="K43" s="7">
        <v>3</v>
      </c>
      <c r="L43" s="12" t="str">
        <f ca="1">IF($L$2="","3. Gruppe A",INDIRECT(ADDRESS(MATCH(K43,$A$1:$A$20,0),MATCH(J43,$A$6:$AE$6,0))))</f>
        <v>3. Gruppe A</v>
      </c>
      <c r="M43" s="11" t="s">
        <v>28</v>
      </c>
      <c r="N43" s="7">
        <v>2</v>
      </c>
      <c r="O43" s="12" t="str">
        <f ca="1">IF($L$2="","2. Gruppe A",INDIRECT(ADDRESS(MATCH(N43,$A$1:$A$20,0),MATCH(M43,$A$6:$AE$6,0))))</f>
        <v>2. Gruppe A</v>
      </c>
      <c r="P43" s="14"/>
      <c r="Q43" s="7"/>
      <c r="R43" s="13" t="s">
        <v>50</v>
      </c>
      <c r="S43" s="16"/>
      <c r="T43" s="15">
        <f t="shared" si="0"/>
      </c>
      <c r="U43" s="13" t="s">
        <v>50</v>
      </c>
      <c r="V43" s="16">
        <f t="shared" si="1"/>
      </c>
      <c r="X43" s="13" t="s">
        <v>51</v>
      </c>
      <c r="Y43" s="13" t="s">
        <v>51</v>
      </c>
      <c r="AA43" s="7" t="s">
        <v>103</v>
      </c>
      <c r="AB43" s="4" t="s">
        <v>104</v>
      </c>
    </row>
    <row r="44" spans="2:28" ht="12.75">
      <c r="B44" s="7"/>
      <c r="C44" s="7"/>
      <c r="D44" s="7">
        <f t="shared" si="2"/>
        <v>102</v>
      </c>
      <c r="E44" s="7">
        <v>2</v>
      </c>
      <c r="F44" s="11" t="s">
        <v>30</v>
      </c>
      <c r="G44" s="7">
        <v>12</v>
      </c>
      <c r="H44" s="12" t="str">
        <f ca="1">IF($B$2="","2. Gruppe D",INDIRECT(ADDRESS(MATCH(G44,$A$1:$A$20,0),MATCH(F44,$A$6:$AE$6,0))))</f>
        <v>2. Gruppe D</v>
      </c>
      <c r="I44" s="13" t="s">
        <v>49</v>
      </c>
      <c r="J44" s="11" t="s">
        <v>30</v>
      </c>
      <c r="K44" s="7">
        <v>3</v>
      </c>
      <c r="L44" s="12" t="str">
        <f ca="1">IF($B$2="","3. Gruppe C",INDIRECT(ADDRESS(MATCH(K44,$A$1:$A$20,0),MATCH(J44,$A$6:$AE$6,0))))</f>
        <v>3. Gruppe C</v>
      </c>
      <c r="M44" s="11" t="s">
        <v>30</v>
      </c>
      <c r="N44" s="7">
        <v>2</v>
      </c>
      <c r="O44" s="12" t="str">
        <f ca="1">IF($B$2="","2. Gruppe C",INDIRECT(ADDRESS(MATCH(N44,$A$1:$A$20,0),MATCH(M44,$A$6:$AE$6,0))))</f>
        <v>2. Gruppe C</v>
      </c>
      <c r="P44" s="14"/>
      <c r="Q44" s="7"/>
      <c r="R44" s="13" t="s">
        <v>50</v>
      </c>
      <c r="S44" s="16"/>
      <c r="T44" s="15">
        <f t="shared" si="0"/>
      </c>
      <c r="U44" s="13" t="s">
        <v>50</v>
      </c>
      <c r="V44" s="16">
        <f t="shared" si="1"/>
      </c>
      <c r="X44" s="13" t="s">
        <v>51</v>
      </c>
      <c r="Y44" s="13" t="s">
        <v>51</v>
      </c>
      <c r="AA44" s="7" t="s">
        <v>103</v>
      </c>
      <c r="AB44" s="4" t="s">
        <v>104</v>
      </c>
    </row>
    <row r="45" spans="2:28" ht="12.75">
      <c r="B45" s="7"/>
      <c r="C45" s="7"/>
      <c r="D45" s="7">
        <f t="shared" si="2"/>
        <v>103</v>
      </c>
      <c r="E45" s="7">
        <v>3</v>
      </c>
      <c r="F45" s="11" t="s">
        <v>29</v>
      </c>
      <c r="G45" s="7">
        <v>12</v>
      </c>
      <c r="H45" s="12" t="str">
        <f ca="1">IF($H$2="","2. Gruppe F",INDIRECT(ADDRESS(MATCH(G45,$A$1:$A$20,0),MATCH(F45,$A$6:$AE$6,0))))</f>
        <v>2. Gruppe F</v>
      </c>
      <c r="I45" s="13" t="s">
        <v>49</v>
      </c>
      <c r="J45" s="11" t="s">
        <v>29</v>
      </c>
      <c r="K45" s="7">
        <v>3</v>
      </c>
      <c r="L45" s="12" t="str">
        <f ca="1">IF($H$2="","3. Gruppe E",INDIRECT(ADDRESS(MATCH(K45,$A$1:$A$20,0),MATCH(J45,$A$6:$AE$6,0))))</f>
        <v>3. Gruppe E</v>
      </c>
      <c r="M45" s="11" t="s">
        <v>29</v>
      </c>
      <c r="N45" s="7">
        <v>2</v>
      </c>
      <c r="O45" s="12" t="str">
        <f ca="1">IF($H$2="","2. Gruppe E",INDIRECT(ADDRESS(MATCH(N45,$A$1:$A$20,0),MATCH(M45,$A$6:$AE$6,0))))</f>
        <v>2. Gruppe E</v>
      </c>
      <c r="P45" s="14"/>
      <c r="Q45" s="7"/>
      <c r="R45" s="13" t="s">
        <v>50</v>
      </c>
      <c r="S45" s="16"/>
      <c r="T45" s="15">
        <f t="shared" si="0"/>
      </c>
      <c r="U45" s="13" t="s">
        <v>50</v>
      </c>
      <c r="V45" s="16">
        <f t="shared" si="1"/>
      </c>
      <c r="W45" s="12"/>
      <c r="X45" s="13" t="s">
        <v>51</v>
      </c>
      <c r="Y45" s="13" t="s">
        <v>51</v>
      </c>
      <c r="AA45" s="7" t="s">
        <v>103</v>
      </c>
      <c r="AB45" s="4" t="s">
        <v>104</v>
      </c>
    </row>
    <row r="46" spans="2:28" ht="12.75">
      <c r="B46" s="17"/>
      <c r="C46" s="29"/>
      <c r="D46" s="17">
        <f t="shared" si="2"/>
        <v>104</v>
      </c>
      <c r="E46" s="17">
        <v>4</v>
      </c>
      <c r="F46" s="18" t="s">
        <v>31</v>
      </c>
      <c r="G46" s="17">
        <v>12</v>
      </c>
      <c r="H46" s="19" t="str">
        <f ca="1">IF($O$2="","2. Gruppe H",INDIRECT(ADDRESS(MATCH(G46,$A$1:$A$20,0),MATCH(F46,$A$6:$AE$6,0))))</f>
        <v>2. Gruppe H</v>
      </c>
      <c r="I46" s="20" t="s">
        <v>49</v>
      </c>
      <c r="J46" s="18" t="s">
        <v>31</v>
      </c>
      <c r="K46" s="17">
        <v>3</v>
      </c>
      <c r="L46" s="19" t="str">
        <f ca="1">IF($O$2="","3. Gruppe G",INDIRECT(ADDRESS(MATCH(K46,$A$1:$A$20,0),MATCH(J46,$A$6:$AE$6,0))))</f>
        <v>3. Gruppe G</v>
      </c>
      <c r="M46" s="18" t="s">
        <v>31</v>
      </c>
      <c r="N46" s="17">
        <v>2</v>
      </c>
      <c r="O46" s="19" t="str">
        <f ca="1">IF($O$2="","2. Gruppe G",INDIRECT(ADDRESS(MATCH(N46,$A$1:$A$20,0),MATCH(M46,$A$6:$AE$6,0))))</f>
        <v>2. Gruppe G</v>
      </c>
      <c r="P46" s="21"/>
      <c r="Q46" s="17"/>
      <c r="R46" s="20" t="s">
        <v>50</v>
      </c>
      <c r="S46" s="23"/>
      <c r="T46" s="22">
        <f t="shared" si="0"/>
      </c>
      <c r="U46" s="20" t="s">
        <v>50</v>
      </c>
      <c r="V46" s="23">
        <f t="shared" si="1"/>
      </c>
      <c r="X46" s="20" t="s">
        <v>51</v>
      </c>
      <c r="Y46" s="20" t="s">
        <v>51</v>
      </c>
      <c r="AA46" s="7" t="s">
        <v>103</v>
      </c>
      <c r="AB46" s="4" t="s">
        <v>104</v>
      </c>
    </row>
    <row r="47" spans="2:28" ht="12.75">
      <c r="B47" s="7">
        <f>+B43+1</f>
        <v>32</v>
      </c>
      <c r="C47" s="10">
        <v>0.4930555555555555</v>
      </c>
      <c r="D47" s="7">
        <f t="shared" si="2"/>
        <v>105</v>
      </c>
      <c r="E47" s="7">
        <v>1</v>
      </c>
      <c r="F47" s="11" t="s">
        <v>28</v>
      </c>
      <c r="G47" s="7">
        <v>11</v>
      </c>
      <c r="H47" s="12" t="str">
        <f ca="1">IF($L$2="","1. Gruppe B",INDIRECT(ADDRESS(MATCH(G47,$A$1:$A$20,0),MATCH(F47,$A$6:$AE$6,0))))</f>
        <v>1. Gruppe B</v>
      </c>
      <c r="I47" s="13" t="s">
        <v>49</v>
      </c>
      <c r="J47" s="11" t="s">
        <v>28</v>
      </c>
      <c r="K47" s="7"/>
      <c r="L47" s="12" t="str">
        <f>IF($T$39="","S. "&amp;D39,IF(T39=2,H39,L39))</f>
        <v>S. 97</v>
      </c>
      <c r="M47" s="11" t="s">
        <v>28</v>
      </c>
      <c r="N47" s="7"/>
      <c r="O47" s="12" t="str">
        <f>IF($T$39="","V. "&amp;D39,IF(T39=0,H39,L39))</f>
        <v>V. 97</v>
      </c>
      <c r="P47" s="14"/>
      <c r="Q47" s="7"/>
      <c r="R47" s="13" t="s">
        <v>50</v>
      </c>
      <c r="S47" s="16"/>
      <c r="T47" s="15">
        <f t="shared" si="0"/>
      </c>
      <c r="U47" s="13" t="s">
        <v>50</v>
      </c>
      <c r="V47" s="16">
        <f t="shared" si="1"/>
      </c>
      <c r="X47" s="13" t="s">
        <v>51</v>
      </c>
      <c r="Y47" s="13" t="s">
        <v>51</v>
      </c>
      <c r="AA47" s="7" t="s">
        <v>105</v>
      </c>
      <c r="AB47" s="4" t="s">
        <v>106</v>
      </c>
    </row>
    <row r="48" spans="2:28" ht="12.75">
      <c r="B48" s="7"/>
      <c r="C48" s="7"/>
      <c r="D48" s="7">
        <f t="shared" si="2"/>
        <v>106</v>
      </c>
      <c r="E48" s="7">
        <v>2</v>
      </c>
      <c r="F48" s="11" t="s">
        <v>30</v>
      </c>
      <c r="G48" s="7">
        <v>11</v>
      </c>
      <c r="H48" s="12" t="str">
        <f ca="1">IF($B$2="","1. Gruppe D",INDIRECT(ADDRESS(MATCH(G48,$A$1:$A$20,0),MATCH(F48,$A$6:$AE$6,0))))</f>
        <v>1. Gruppe D</v>
      </c>
      <c r="I48" s="13" t="s">
        <v>49</v>
      </c>
      <c r="J48" s="11" t="s">
        <v>30</v>
      </c>
      <c r="K48" s="7"/>
      <c r="L48" s="12" t="str">
        <f>IF($T$40="","S. "&amp;D40,IF(T40=2,H40,L40))</f>
        <v>S. 98</v>
      </c>
      <c r="M48" s="11" t="s">
        <v>30</v>
      </c>
      <c r="N48" s="7"/>
      <c r="O48" s="12" t="str">
        <f>IF($T$40="","V. "&amp;D40,IF(T40=0,H40,L40))</f>
        <v>V. 98</v>
      </c>
      <c r="P48" s="14"/>
      <c r="Q48" s="7"/>
      <c r="R48" s="13" t="s">
        <v>50</v>
      </c>
      <c r="S48" s="16"/>
      <c r="T48" s="15">
        <f t="shared" si="0"/>
      </c>
      <c r="U48" s="13" t="s">
        <v>50</v>
      </c>
      <c r="V48" s="16">
        <f t="shared" si="1"/>
      </c>
      <c r="X48" s="13" t="s">
        <v>51</v>
      </c>
      <c r="Y48" s="13" t="s">
        <v>51</v>
      </c>
      <c r="AA48" s="7" t="s">
        <v>105</v>
      </c>
      <c r="AB48" s="4" t="s">
        <v>106</v>
      </c>
    </row>
    <row r="49" spans="2:28" ht="12.75">
      <c r="B49" s="7"/>
      <c r="C49" s="7"/>
      <c r="D49" s="7">
        <f t="shared" si="2"/>
        <v>107</v>
      </c>
      <c r="E49" s="7">
        <v>3</v>
      </c>
      <c r="F49" s="11" t="s">
        <v>29</v>
      </c>
      <c r="G49" s="7">
        <v>11</v>
      </c>
      <c r="H49" s="12" t="str">
        <f ca="1">IF($H$2="","1. Gruppe F",INDIRECT(ADDRESS(MATCH(G49,$A$1:$A$20,0),MATCH(F49,$A$6:$AE$6,0))))</f>
        <v>1. Gruppe F</v>
      </c>
      <c r="I49" s="13" t="s">
        <v>49</v>
      </c>
      <c r="J49" s="11" t="s">
        <v>29</v>
      </c>
      <c r="K49" s="7"/>
      <c r="L49" s="12" t="str">
        <f>IF($T$41="","S. "&amp;D41,IF(T41=2,H41,L41))</f>
        <v>S. 99</v>
      </c>
      <c r="M49" s="11" t="s">
        <v>29</v>
      </c>
      <c r="N49" s="7"/>
      <c r="O49" s="12" t="str">
        <f>IF($T$41="","V. "&amp;D41,IF(T41=0,H41,L41))</f>
        <v>V. 99</v>
      </c>
      <c r="P49" s="14"/>
      <c r="Q49" s="7"/>
      <c r="R49" s="13" t="s">
        <v>50</v>
      </c>
      <c r="S49" s="16"/>
      <c r="T49" s="15">
        <f t="shared" si="0"/>
      </c>
      <c r="U49" s="13" t="s">
        <v>50</v>
      </c>
      <c r="V49" s="16">
        <f t="shared" si="1"/>
      </c>
      <c r="X49" s="13" t="s">
        <v>51</v>
      </c>
      <c r="Y49" s="13" t="s">
        <v>51</v>
      </c>
      <c r="AA49" s="7" t="s">
        <v>105</v>
      </c>
      <c r="AB49" s="4" t="s">
        <v>106</v>
      </c>
    </row>
    <row r="50" spans="2:28" ht="12.75">
      <c r="B50" s="17"/>
      <c r="C50" s="17"/>
      <c r="D50" s="17">
        <f t="shared" si="2"/>
        <v>108</v>
      </c>
      <c r="E50" s="17">
        <v>4</v>
      </c>
      <c r="F50" s="18" t="s">
        <v>31</v>
      </c>
      <c r="G50" s="17">
        <v>11</v>
      </c>
      <c r="H50" s="19" t="str">
        <f ca="1">IF($O$2="","1. Gruppe H",INDIRECT(ADDRESS(MATCH(G50,$A$1:$A$20,0),MATCH(F50,$A$6:$AE$6,0))))</f>
        <v>1. Gruppe H</v>
      </c>
      <c r="I50" s="20" t="s">
        <v>49</v>
      </c>
      <c r="J50" s="18" t="s">
        <v>31</v>
      </c>
      <c r="K50" s="17"/>
      <c r="L50" s="19" t="str">
        <f>IF($T$42="","S. "&amp;D42,IF(T42=2,H42,L42))</f>
        <v>S. 100</v>
      </c>
      <c r="M50" s="18" t="s">
        <v>31</v>
      </c>
      <c r="N50" s="17"/>
      <c r="O50" s="19" t="str">
        <f>IF($T$42="","V. "&amp;D42,IF(T42=0,H42,L42))</f>
        <v>V. 100</v>
      </c>
      <c r="P50" s="21"/>
      <c r="Q50" s="17"/>
      <c r="R50" s="20" t="s">
        <v>50</v>
      </c>
      <c r="S50" s="23"/>
      <c r="T50" s="22">
        <f t="shared" si="0"/>
      </c>
      <c r="U50" s="20" t="s">
        <v>50</v>
      </c>
      <c r="V50" s="23">
        <f t="shared" si="1"/>
      </c>
      <c r="X50" s="20" t="s">
        <v>51</v>
      </c>
      <c r="Y50" s="20" t="s">
        <v>51</v>
      </c>
      <c r="AA50" s="7" t="s">
        <v>105</v>
      </c>
      <c r="AB50" s="4" t="s">
        <v>106</v>
      </c>
    </row>
    <row r="51" spans="2:28" ht="12.75">
      <c r="B51" s="7">
        <f>+B47+1</f>
        <v>33</v>
      </c>
      <c r="C51" s="10">
        <v>0.5104166666666666</v>
      </c>
      <c r="D51" s="7">
        <f t="shared" si="2"/>
        <v>109</v>
      </c>
      <c r="E51" s="7">
        <v>1</v>
      </c>
      <c r="F51" s="11" t="s">
        <v>28</v>
      </c>
      <c r="G51" s="7">
        <v>1</v>
      </c>
      <c r="H51" s="12" t="str">
        <f ca="1">IF($L$2="","1. Gruppe A",INDIRECT(ADDRESS(MATCH(G51,$A$1:$A$20,0),MATCH(F51,$A$6:$AE$6,0))))</f>
        <v>1. Gruppe A</v>
      </c>
      <c r="I51" s="13" t="s">
        <v>49</v>
      </c>
      <c r="J51" s="11" t="s">
        <v>28</v>
      </c>
      <c r="K51" s="7"/>
      <c r="L51" s="12" t="str">
        <f>IF($T$43="","S. "&amp;D43,IF(T43=2,H43,L43))</f>
        <v>S. 101</v>
      </c>
      <c r="M51" s="11" t="s">
        <v>28</v>
      </c>
      <c r="N51" s="7"/>
      <c r="O51" s="12" t="str">
        <f>IF($T$43="","V. "&amp;D43,IF(T43=0,H43,L43))</f>
        <v>V. 101</v>
      </c>
      <c r="P51" s="14"/>
      <c r="Q51" s="7"/>
      <c r="R51" s="13" t="s">
        <v>50</v>
      </c>
      <c r="S51" s="16"/>
      <c r="T51" s="15">
        <f t="shared" si="0"/>
      </c>
      <c r="U51" s="13" t="s">
        <v>50</v>
      </c>
      <c r="V51" s="16">
        <f t="shared" si="1"/>
      </c>
      <c r="X51" s="13" t="s">
        <v>51</v>
      </c>
      <c r="Y51" s="13" t="s">
        <v>51</v>
      </c>
      <c r="AA51" s="7" t="s">
        <v>105</v>
      </c>
      <c r="AB51" s="4" t="s">
        <v>106</v>
      </c>
    </row>
    <row r="52" spans="2:28" ht="12.75">
      <c r="B52" s="7"/>
      <c r="C52" s="7"/>
      <c r="D52" s="7">
        <f t="shared" si="2"/>
        <v>110</v>
      </c>
      <c r="E52" s="7">
        <v>2</v>
      </c>
      <c r="F52" s="11" t="s">
        <v>30</v>
      </c>
      <c r="G52" s="7">
        <v>1</v>
      </c>
      <c r="H52" s="12" t="str">
        <f ca="1">IF($B$2="","1. Gruppe C",INDIRECT(ADDRESS(MATCH(G52,$A$1:$A$20,0),MATCH(F52,$A$6:$AE$6,0))))</f>
        <v>1. Gruppe C</v>
      </c>
      <c r="I52" s="13" t="s">
        <v>49</v>
      </c>
      <c r="J52" s="11" t="s">
        <v>30</v>
      </c>
      <c r="K52" s="7"/>
      <c r="L52" s="12" t="str">
        <f>IF($T$44="","S. "&amp;D44,IF(T44=2,H44,L44))</f>
        <v>S. 102</v>
      </c>
      <c r="M52" s="11" t="s">
        <v>30</v>
      </c>
      <c r="N52" s="7"/>
      <c r="O52" s="12" t="str">
        <f>IF($T$44="","V. "&amp;D44,IF(T44=0,H44,L44))</f>
        <v>V. 102</v>
      </c>
      <c r="P52" s="14"/>
      <c r="Q52" s="7"/>
      <c r="R52" s="13" t="s">
        <v>50</v>
      </c>
      <c r="S52" s="16"/>
      <c r="T52" s="15">
        <f t="shared" si="0"/>
      </c>
      <c r="U52" s="13" t="s">
        <v>50</v>
      </c>
      <c r="V52" s="16">
        <f t="shared" si="1"/>
      </c>
      <c r="X52" s="13" t="s">
        <v>51</v>
      </c>
      <c r="Y52" s="13" t="s">
        <v>51</v>
      </c>
      <c r="AA52" s="7" t="s">
        <v>105</v>
      </c>
      <c r="AB52" s="4" t="s">
        <v>106</v>
      </c>
    </row>
    <row r="53" spans="2:28" ht="12.75">
      <c r="B53" s="7"/>
      <c r="C53" s="7"/>
      <c r="D53" s="7">
        <f t="shared" si="2"/>
        <v>111</v>
      </c>
      <c r="E53" s="7">
        <v>3</v>
      </c>
      <c r="F53" s="11" t="s">
        <v>29</v>
      </c>
      <c r="G53" s="7">
        <v>1</v>
      </c>
      <c r="H53" s="12" t="str">
        <f ca="1">IF($H$2="","1. Gruppe E",INDIRECT(ADDRESS(MATCH(G53,$A$1:$A$20,0),MATCH(F53,$A$6:$AE$6,0))))</f>
        <v>1. Gruppe E</v>
      </c>
      <c r="I53" s="13" t="s">
        <v>49</v>
      </c>
      <c r="J53" s="11" t="s">
        <v>29</v>
      </c>
      <c r="K53" s="7"/>
      <c r="L53" s="12" t="str">
        <f>IF($T$45="","S. "&amp;D45,IF(T45=2,H45,L45))</f>
        <v>S. 103</v>
      </c>
      <c r="M53" s="11" t="s">
        <v>29</v>
      </c>
      <c r="N53" s="7"/>
      <c r="O53" s="12" t="str">
        <f>IF($T$45="","V. "&amp;D45,IF(T45=0,H45,L45))</f>
        <v>V. 103</v>
      </c>
      <c r="P53" s="14"/>
      <c r="Q53" s="7"/>
      <c r="R53" s="13" t="s">
        <v>50</v>
      </c>
      <c r="S53" s="16"/>
      <c r="T53" s="15">
        <f t="shared" si="0"/>
      </c>
      <c r="U53" s="13" t="s">
        <v>50</v>
      </c>
      <c r="V53" s="16">
        <f t="shared" si="1"/>
      </c>
      <c r="X53" s="13" t="s">
        <v>51</v>
      </c>
      <c r="Y53" s="13" t="s">
        <v>51</v>
      </c>
      <c r="AA53" s="7" t="s">
        <v>105</v>
      </c>
      <c r="AB53" s="4" t="s">
        <v>106</v>
      </c>
    </row>
    <row r="54" spans="2:28" ht="12.75">
      <c r="B54" s="17"/>
      <c r="C54" s="29"/>
      <c r="D54" s="17">
        <f t="shared" si="2"/>
        <v>112</v>
      </c>
      <c r="E54" s="17">
        <v>4</v>
      </c>
      <c r="F54" s="18" t="s">
        <v>31</v>
      </c>
      <c r="G54" s="17">
        <v>1</v>
      </c>
      <c r="H54" s="19" t="str">
        <f ca="1">IF($O$2="","1. Gruppe G",INDIRECT(ADDRESS(MATCH(G54,$A$1:$A$20,0),MATCH(F54,$A$6:$AE$6,0))))</f>
        <v>1. Gruppe G</v>
      </c>
      <c r="I54" s="20" t="s">
        <v>49</v>
      </c>
      <c r="J54" s="18" t="s">
        <v>31</v>
      </c>
      <c r="K54" s="17"/>
      <c r="L54" s="19" t="str">
        <f>IF($T$46="","S. "&amp;D46,IF(T46=2,H46,L46))</f>
        <v>S. 104</v>
      </c>
      <c r="M54" s="18" t="s">
        <v>31</v>
      </c>
      <c r="N54" s="17"/>
      <c r="O54" s="19" t="str">
        <f>IF($T$46="","V. "&amp;D46,IF(T46=0,H46,L46))</f>
        <v>V. 104</v>
      </c>
      <c r="P54" s="21"/>
      <c r="Q54" s="17"/>
      <c r="R54" s="20" t="s">
        <v>50</v>
      </c>
      <c r="S54" s="23"/>
      <c r="T54" s="22">
        <f t="shared" si="0"/>
      </c>
      <c r="U54" s="20" t="s">
        <v>50</v>
      </c>
      <c r="V54" s="23">
        <f t="shared" si="1"/>
      </c>
      <c r="X54" s="20" t="s">
        <v>51</v>
      </c>
      <c r="Y54" s="20" t="s">
        <v>51</v>
      </c>
      <c r="AA54" s="7" t="s">
        <v>105</v>
      </c>
      <c r="AB54" s="4" t="s">
        <v>106</v>
      </c>
    </row>
    <row r="55" spans="2:28" ht="12.75">
      <c r="B55" s="7">
        <f>+B51+1</f>
        <v>34</v>
      </c>
      <c r="C55" s="10">
        <v>0.5277777777777778</v>
      </c>
      <c r="D55" s="7">
        <f t="shared" si="2"/>
        <v>113</v>
      </c>
      <c r="E55" s="7">
        <v>1</v>
      </c>
      <c r="F55" s="11" t="s">
        <v>28</v>
      </c>
      <c r="G55" s="7"/>
      <c r="H55" s="12" t="str">
        <f>IF($T$39="","Platz 5 / V. "&amp;D39,IF(T39=0,H39,L39))</f>
        <v>Platz 5 / V. 97</v>
      </c>
      <c r="I55" s="13" t="s">
        <v>49</v>
      </c>
      <c r="J55" s="11" t="s">
        <v>28</v>
      </c>
      <c r="K55" s="7"/>
      <c r="L55" s="12" t="str">
        <f>IF($T$43="","V. "&amp;D43,IF(T43=0,H43,L43))</f>
        <v>V. 101</v>
      </c>
      <c r="M55" s="11" t="s">
        <v>28</v>
      </c>
      <c r="N55" s="7"/>
      <c r="O55" s="12" t="str">
        <f>IF($T$47="","V. "&amp;D47,IF(T47=0,H47,L47))</f>
        <v>V. 105</v>
      </c>
      <c r="P55" s="14"/>
      <c r="Q55" s="7"/>
      <c r="R55" s="13" t="s">
        <v>50</v>
      </c>
      <c r="S55" s="16"/>
      <c r="T55" s="15">
        <f t="shared" si="0"/>
      </c>
      <c r="U55" s="13" t="s">
        <v>50</v>
      </c>
      <c r="V55" s="16">
        <f t="shared" si="1"/>
      </c>
      <c r="X55" s="13" t="s">
        <v>51</v>
      </c>
      <c r="Y55" s="13" t="s">
        <v>51</v>
      </c>
      <c r="AA55" s="7" t="s">
        <v>107</v>
      </c>
      <c r="AB55" s="4" t="s">
        <v>108</v>
      </c>
    </row>
    <row r="56" spans="2:28" ht="12.75">
      <c r="B56" s="7"/>
      <c r="C56" s="7"/>
      <c r="D56" s="7">
        <f t="shared" si="2"/>
        <v>114</v>
      </c>
      <c r="E56" s="7">
        <v>2</v>
      </c>
      <c r="F56" s="11" t="s">
        <v>30</v>
      </c>
      <c r="G56" s="7"/>
      <c r="H56" s="12" t="str">
        <f>IF($T$40="","Platz 5 / V. "&amp;D40,IF(T40=0,H40,L40))</f>
        <v>Platz 5 / V. 98</v>
      </c>
      <c r="I56" s="13" t="s">
        <v>49</v>
      </c>
      <c r="J56" s="11" t="s">
        <v>30</v>
      </c>
      <c r="K56" s="7"/>
      <c r="L56" s="12" t="str">
        <f>IF($T$44="","V. "&amp;D44,IF(T44=0,H44,L44))</f>
        <v>V. 102</v>
      </c>
      <c r="M56" s="11" t="s">
        <v>30</v>
      </c>
      <c r="N56" s="7"/>
      <c r="O56" s="12" t="str">
        <f>IF($T$48="","V. "&amp;D48,IF(T48=0,H48,L48))</f>
        <v>V. 106</v>
      </c>
      <c r="P56" s="14"/>
      <c r="Q56" s="7"/>
      <c r="R56" s="13" t="s">
        <v>50</v>
      </c>
      <c r="S56" s="16"/>
      <c r="T56" s="15">
        <f t="shared" si="0"/>
      </c>
      <c r="U56" s="13" t="s">
        <v>50</v>
      </c>
      <c r="V56" s="16">
        <f t="shared" si="1"/>
      </c>
      <c r="X56" s="13" t="s">
        <v>51</v>
      </c>
      <c r="Y56" s="13" t="s">
        <v>51</v>
      </c>
      <c r="AA56" s="7" t="s">
        <v>107</v>
      </c>
      <c r="AB56" s="4" t="s">
        <v>108</v>
      </c>
    </row>
    <row r="57" spans="2:28" ht="12.75">
      <c r="B57" s="7"/>
      <c r="C57" s="7"/>
      <c r="D57" s="7">
        <f t="shared" si="2"/>
        <v>115</v>
      </c>
      <c r="E57" s="7">
        <v>3</v>
      </c>
      <c r="F57" s="11" t="s">
        <v>29</v>
      </c>
      <c r="G57" s="7"/>
      <c r="H57" s="12" t="str">
        <f>IF($T$41="","Platz 5 / V. "&amp;D41,IF(T41=0,H41,L41))</f>
        <v>Platz 5 / V. 99</v>
      </c>
      <c r="I57" s="13" t="s">
        <v>49</v>
      </c>
      <c r="J57" s="11" t="s">
        <v>29</v>
      </c>
      <c r="K57" s="7"/>
      <c r="L57" s="12" t="str">
        <f>IF($T$45="","V. "&amp;D45,IF(T45=0,H45,L45))</f>
        <v>V. 103</v>
      </c>
      <c r="M57" s="11" t="s">
        <v>29</v>
      </c>
      <c r="N57" s="7"/>
      <c r="O57" s="12" t="str">
        <f>IF($T$49="","V. "&amp;D49,IF(T49=0,H49,L49))</f>
        <v>V. 107</v>
      </c>
      <c r="P57" s="14"/>
      <c r="Q57" s="7"/>
      <c r="R57" s="13" t="s">
        <v>50</v>
      </c>
      <c r="S57" s="16"/>
      <c r="T57" s="15">
        <f t="shared" si="0"/>
      </c>
      <c r="U57" s="13" t="s">
        <v>50</v>
      </c>
      <c r="V57" s="16">
        <f t="shared" si="1"/>
      </c>
      <c r="X57" s="13" t="s">
        <v>51</v>
      </c>
      <c r="Y57" s="13" t="s">
        <v>51</v>
      </c>
      <c r="AA57" s="7" t="s">
        <v>107</v>
      </c>
      <c r="AB57" s="4" t="s">
        <v>108</v>
      </c>
    </row>
    <row r="58" spans="2:28" ht="12.75">
      <c r="B58" s="17"/>
      <c r="C58" s="17"/>
      <c r="D58" s="17">
        <f t="shared" si="2"/>
        <v>116</v>
      </c>
      <c r="E58" s="17">
        <v>4</v>
      </c>
      <c r="F58" s="18" t="s">
        <v>31</v>
      </c>
      <c r="G58" s="17"/>
      <c r="H58" s="19" t="str">
        <f>IF($T$42="","Platz 5 / V. "&amp;D42,IF(T42=0,H42,L42))</f>
        <v>Platz 5 / V. 100</v>
      </c>
      <c r="I58" s="20" t="s">
        <v>49</v>
      </c>
      <c r="J58" s="18" t="s">
        <v>31</v>
      </c>
      <c r="K58" s="17"/>
      <c r="L58" s="19" t="str">
        <f>IF($T$46="","V. "&amp;D46,IF(T46=0,H46,L46))</f>
        <v>V. 104</v>
      </c>
      <c r="M58" s="18" t="s">
        <v>31</v>
      </c>
      <c r="N58" s="17"/>
      <c r="O58" s="19" t="str">
        <f>IF($T$50="","V. "&amp;D50,IF(T50=0,H50,L50))</f>
        <v>V. 108</v>
      </c>
      <c r="P58" s="21"/>
      <c r="Q58" s="17"/>
      <c r="R58" s="20" t="s">
        <v>50</v>
      </c>
      <c r="S58" s="23"/>
      <c r="T58" s="22">
        <f t="shared" si="0"/>
      </c>
      <c r="U58" s="20" t="s">
        <v>50</v>
      </c>
      <c r="V58" s="23">
        <f t="shared" si="1"/>
      </c>
      <c r="X58" s="20" t="s">
        <v>51</v>
      </c>
      <c r="Y58" s="20" t="s">
        <v>51</v>
      </c>
      <c r="AA58" s="7" t="s">
        <v>107</v>
      </c>
      <c r="AB58" s="4" t="s">
        <v>108</v>
      </c>
    </row>
    <row r="59" spans="2:28" ht="12.75">
      <c r="B59" s="7">
        <f>+B55+1</f>
        <v>35</v>
      </c>
      <c r="C59" s="10">
        <v>0.545138888888889</v>
      </c>
      <c r="D59" s="7">
        <f t="shared" si="2"/>
        <v>117</v>
      </c>
      <c r="E59" s="7">
        <v>1</v>
      </c>
      <c r="F59" s="11" t="s">
        <v>28</v>
      </c>
      <c r="G59" s="7"/>
      <c r="H59" s="12" t="str">
        <f>IF($T$47="","Platz 3 / V. "&amp;D47,IF(T47=0,H47,L47))</f>
        <v>Platz 3 / V. 105</v>
      </c>
      <c r="I59" s="13" t="s">
        <v>49</v>
      </c>
      <c r="J59" s="11" t="s">
        <v>28</v>
      </c>
      <c r="K59" s="7"/>
      <c r="L59" s="12" t="str">
        <f>IF($T$51="","V. "&amp;D51,IF(T51=0,H51,L51))</f>
        <v>V. 109</v>
      </c>
      <c r="M59" s="11" t="s">
        <v>28</v>
      </c>
      <c r="N59" s="7"/>
      <c r="O59" s="12" t="str">
        <f>IF($T$47="","S. "&amp;D47,IF(T47=2,H47,L47))</f>
        <v>S. 105</v>
      </c>
      <c r="P59" s="14"/>
      <c r="Q59" s="7"/>
      <c r="R59" s="13" t="s">
        <v>50</v>
      </c>
      <c r="S59" s="16"/>
      <c r="T59" s="15">
        <f t="shared" si="0"/>
      </c>
      <c r="U59" s="13" t="s">
        <v>50</v>
      </c>
      <c r="V59" s="16">
        <f t="shared" si="1"/>
      </c>
      <c r="X59" s="13" t="s">
        <v>51</v>
      </c>
      <c r="Y59" s="13" t="s">
        <v>51</v>
      </c>
      <c r="AA59" s="7" t="s">
        <v>107</v>
      </c>
      <c r="AB59" s="4" t="s">
        <v>109</v>
      </c>
    </row>
    <row r="60" spans="2:28" ht="12.75">
      <c r="B60" s="7"/>
      <c r="C60" s="7"/>
      <c r="D60" s="7">
        <f t="shared" si="2"/>
        <v>118</v>
      </c>
      <c r="E60" s="7">
        <v>2</v>
      </c>
      <c r="F60" s="11" t="s">
        <v>30</v>
      </c>
      <c r="G60" s="7"/>
      <c r="H60" s="12" t="str">
        <f>IF($T$48="","Platz 3 / V. "&amp;D48,IF(T48=0,H48,L48))</f>
        <v>Platz 3 / V. 106</v>
      </c>
      <c r="I60" s="13" t="s">
        <v>49</v>
      </c>
      <c r="J60" s="11" t="s">
        <v>30</v>
      </c>
      <c r="K60" s="7"/>
      <c r="L60" s="12" t="str">
        <f>IF($T$52="","V. "&amp;D52,IF(T52=0,H52,L52))</f>
        <v>V. 110</v>
      </c>
      <c r="M60" s="11" t="s">
        <v>30</v>
      </c>
      <c r="N60" s="7"/>
      <c r="O60" s="12" t="str">
        <f>IF($T$48="","S. "&amp;D48,IF(T48=2,H48,L48))</f>
        <v>S. 106</v>
      </c>
      <c r="P60" s="14"/>
      <c r="Q60" s="7"/>
      <c r="R60" s="13" t="s">
        <v>50</v>
      </c>
      <c r="S60" s="16"/>
      <c r="T60" s="15">
        <f t="shared" si="0"/>
      </c>
      <c r="U60" s="13" t="s">
        <v>50</v>
      </c>
      <c r="V60" s="16">
        <f t="shared" si="1"/>
      </c>
      <c r="X60" s="13" t="s">
        <v>51</v>
      </c>
      <c r="Y60" s="13" t="s">
        <v>51</v>
      </c>
      <c r="AA60" s="7" t="s">
        <v>107</v>
      </c>
      <c r="AB60" s="4" t="s">
        <v>109</v>
      </c>
    </row>
    <row r="61" spans="2:28" ht="12.75">
      <c r="B61" s="7"/>
      <c r="C61" s="7"/>
      <c r="D61" s="7">
        <f t="shared" si="2"/>
        <v>119</v>
      </c>
      <c r="E61" s="7">
        <v>3</v>
      </c>
      <c r="F61" s="11" t="s">
        <v>29</v>
      </c>
      <c r="G61" s="7"/>
      <c r="H61" s="12" t="str">
        <f>IF($T$49="","Platz 3 / V. "&amp;D49,IF(T49=0,H49,L49))</f>
        <v>Platz 3 / V. 107</v>
      </c>
      <c r="I61" s="13" t="s">
        <v>49</v>
      </c>
      <c r="J61" s="11" t="s">
        <v>29</v>
      </c>
      <c r="K61" s="7"/>
      <c r="L61" s="12" t="str">
        <f>IF($T$53="","V. "&amp;D53,IF(T53=0,H53,L53))</f>
        <v>V. 111</v>
      </c>
      <c r="M61" s="11" t="s">
        <v>29</v>
      </c>
      <c r="N61" s="7"/>
      <c r="O61" s="12" t="str">
        <f>IF($T$49="","S. "&amp;D49,IF(T49=2,H49,L49))</f>
        <v>S. 107</v>
      </c>
      <c r="P61" s="14"/>
      <c r="Q61" s="7"/>
      <c r="R61" s="13" t="s">
        <v>50</v>
      </c>
      <c r="S61" s="16"/>
      <c r="T61" s="15">
        <f t="shared" si="0"/>
      </c>
      <c r="U61" s="13" t="s">
        <v>50</v>
      </c>
      <c r="V61" s="16">
        <f t="shared" si="1"/>
      </c>
      <c r="X61" s="13" t="s">
        <v>51</v>
      </c>
      <c r="Y61" s="13" t="s">
        <v>51</v>
      </c>
      <c r="AA61" s="7" t="s">
        <v>107</v>
      </c>
      <c r="AB61" s="4" t="s">
        <v>109</v>
      </c>
    </row>
    <row r="62" spans="2:28" ht="12.75">
      <c r="B62" s="17"/>
      <c r="C62" s="17"/>
      <c r="D62" s="17">
        <f t="shared" si="2"/>
        <v>120</v>
      </c>
      <c r="E62" s="17">
        <v>4</v>
      </c>
      <c r="F62" s="18" t="s">
        <v>31</v>
      </c>
      <c r="G62" s="17"/>
      <c r="H62" s="19" t="str">
        <f>IF($T$50="","Platz 3 / V. "&amp;D50,IF(T50=0,H50,L50))</f>
        <v>Platz 3 / V. 108</v>
      </c>
      <c r="I62" s="20" t="s">
        <v>49</v>
      </c>
      <c r="J62" s="18" t="s">
        <v>31</v>
      </c>
      <c r="K62" s="17"/>
      <c r="L62" s="19" t="str">
        <f>IF($T$54="","V. "&amp;D54,IF(T54=0,H54,L54))</f>
        <v>V. 112</v>
      </c>
      <c r="M62" s="18" t="s">
        <v>31</v>
      </c>
      <c r="N62" s="17"/>
      <c r="O62" s="19" t="str">
        <f>IF($T$50="","S. "&amp;D50,IF(T50=2,H50,L50))</f>
        <v>S. 108</v>
      </c>
      <c r="P62" s="21"/>
      <c r="Q62" s="17"/>
      <c r="R62" s="20" t="s">
        <v>50</v>
      </c>
      <c r="S62" s="23"/>
      <c r="T62" s="22">
        <f t="shared" si="0"/>
      </c>
      <c r="U62" s="20" t="s">
        <v>50</v>
      </c>
      <c r="V62" s="23">
        <f t="shared" si="1"/>
      </c>
      <c r="X62" s="20" t="s">
        <v>51</v>
      </c>
      <c r="Y62" s="20" t="s">
        <v>51</v>
      </c>
      <c r="AA62" s="7" t="s">
        <v>107</v>
      </c>
      <c r="AB62" s="4" t="s">
        <v>109</v>
      </c>
    </row>
    <row r="63" spans="2:28" ht="12.75">
      <c r="B63" s="31">
        <f>+B59+1</f>
        <v>36</v>
      </c>
      <c r="C63" s="32">
        <v>0.5625</v>
      </c>
      <c r="D63" s="31">
        <f t="shared" si="2"/>
        <v>121</v>
      </c>
      <c r="E63" s="31">
        <v>1</v>
      </c>
      <c r="F63" s="33" t="s">
        <v>28</v>
      </c>
      <c r="G63" s="31"/>
      <c r="H63" s="34" t="str">
        <f>IF($T$47="","Endspiel w.Jgd. / S. "&amp;D47,IF(T47=2,H47,L47))</f>
        <v>Endspiel w.Jgd. / S. 105</v>
      </c>
      <c r="I63" s="35" t="s">
        <v>49</v>
      </c>
      <c r="J63" s="33" t="s">
        <v>28</v>
      </c>
      <c r="K63" s="31"/>
      <c r="L63" s="34" t="str">
        <f>IF($T$51="","S. "&amp;D51,IF(T51=2,H51,L51))</f>
        <v>S. 109</v>
      </c>
      <c r="M63" s="33" t="s">
        <v>28</v>
      </c>
      <c r="N63" s="31"/>
      <c r="O63" s="34" t="str">
        <f>IF($T$59="","S. "&amp;D59,IF(T59=2,H59,L59))</f>
        <v>S. 117</v>
      </c>
      <c r="P63" s="36"/>
      <c r="Q63" s="31"/>
      <c r="R63" s="35" t="s">
        <v>50</v>
      </c>
      <c r="S63" s="37"/>
      <c r="T63" s="38">
        <f t="shared" si="0"/>
      </c>
      <c r="U63" s="35" t="s">
        <v>50</v>
      </c>
      <c r="V63" s="37">
        <f t="shared" si="1"/>
      </c>
      <c r="X63" s="13" t="s">
        <v>51</v>
      </c>
      <c r="Y63" s="13" t="s">
        <v>51</v>
      </c>
      <c r="AA63" s="7" t="s">
        <v>110</v>
      </c>
      <c r="AB63" s="4" t="s">
        <v>111</v>
      </c>
    </row>
    <row r="64" spans="2:28" ht="12.75">
      <c r="B64" s="31">
        <f>+B63+1</f>
        <v>37</v>
      </c>
      <c r="C64" s="32">
        <v>0.5798611111111113</v>
      </c>
      <c r="D64" s="31">
        <f t="shared" si="2"/>
        <v>122</v>
      </c>
      <c r="E64" s="31">
        <v>2</v>
      </c>
      <c r="F64" s="33" t="s">
        <v>30</v>
      </c>
      <c r="G64" s="31"/>
      <c r="H64" s="34" t="str">
        <f>IF($T$48="","Endspiel m.Jgd. / S. "&amp;D48,IF(T48=2,H48,L48))</f>
        <v>Endspiel m.Jgd. / S. 106</v>
      </c>
      <c r="I64" s="35" t="s">
        <v>49</v>
      </c>
      <c r="J64" s="33" t="s">
        <v>30</v>
      </c>
      <c r="K64" s="31"/>
      <c r="L64" s="34" t="str">
        <f>IF($T$52="","S. "&amp;D52,IF(T52=2,H52,L52))</f>
        <v>S. 110</v>
      </c>
      <c r="M64" s="33" t="s">
        <v>30</v>
      </c>
      <c r="N64" s="31"/>
      <c r="O64" s="34" t="str">
        <f>IF($T$60="","S. "&amp;D60,IF(T60=2,H60,L60))</f>
        <v>S. 118</v>
      </c>
      <c r="P64" s="36"/>
      <c r="Q64" s="31"/>
      <c r="R64" s="35" t="s">
        <v>50</v>
      </c>
      <c r="S64" s="37"/>
      <c r="T64" s="38">
        <f t="shared" si="0"/>
      </c>
      <c r="U64" s="35" t="s">
        <v>50</v>
      </c>
      <c r="V64" s="37">
        <f t="shared" si="1"/>
      </c>
      <c r="X64" s="13" t="s">
        <v>51</v>
      </c>
      <c r="Y64" s="13" t="s">
        <v>51</v>
      </c>
      <c r="AA64" s="7" t="s">
        <v>110</v>
      </c>
      <c r="AB64" s="4" t="s">
        <v>111</v>
      </c>
    </row>
    <row r="65" spans="2:28" ht="12.75">
      <c r="B65" s="31">
        <f>+B64+1</f>
        <v>38</v>
      </c>
      <c r="C65" s="32">
        <v>0.5972222222222224</v>
      </c>
      <c r="D65" s="31">
        <f t="shared" si="2"/>
        <v>123</v>
      </c>
      <c r="E65" s="31">
        <v>3</v>
      </c>
      <c r="F65" s="33" t="s">
        <v>29</v>
      </c>
      <c r="G65" s="31"/>
      <c r="H65" s="34" t="str">
        <f>IF($T$49="","Endspiel w.Sch. / S. "&amp;D49,IF(T49=2,H49,L49))</f>
        <v>Endspiel w.Sch. / S. 107</v>
      </c>
      <c r="I65" s="35" t="s">
        <v>49</v>
      </c>
      <c r="J65" s="33" t="s">
        <v>29</v>
      </c>
      <c r="K65" s="31"/>
      <c r="L65" s="34" t="str">
        <f>IF($T$53="","S. "&amp;D53,IF(T53=2,H53,L53))</f>
        <v>S. 111</v>
      </c>
      <c r="M65" s="33" t="s">
        <v>29</v>
      </c>
      <c r="N65" s="31"/>
      <c r="O65" s="34" t="str">
        <f>IF($T$61="","S. "&amp;D61,IF(T61=2,H61,L61))</f>
        <v>S. 119</v>
      </c>
      <c r="P65" s="36"/>
      <c r="Q65" s="31"/>
      <c r="R65" s="35" t="s">
        <v>50</v>
      </c>
      <c r="S65" s="37"/>
      <c r="T65" s="38">
        <f t="shared" si="0"/>
      </c>
      <c r="U65" s="35" t="s">
        <v>50</v>
      </c>
      <c r="V65" s="37">
        <f t="shared" si="1"/>
      </c>
      <c r="X65" s="13" t="s">
        <v>51</v>
      </c>
      <c r="Y65" s="13" t="s">
        <v>51</v>
      </c>
      <c r="AA65" s="7" t="s">
        <v>110</v>
      </c>
      <c r="AB65" s="4" t="s">
        <v>111</v>
      </c>
    </row>
    <row r="66" spans="2:28" ht="12.75">
      <c r="B66" s="39">
        <f>+B65+1</f>
        <v>39</v>
      </c>
      <c r="C66" s="32">
        <v>0.6145833333333336</v>
      </c>
      <c r="D66" s="31">
        <f t="shared" si="2"/>
        <v>124</v>
      </c>
      <c r="E66" s="31">
        <v>4</v>
      </c>
      <c r="F66" s="33" t="s">
        <v>31</v>
      </c>
      <c r="G66" s="31"/>
      <c r="H66" s="34" t="str">
        <f>IF($T$50="","Endspiel m.Sch. / S. "&amp;D50,IF(T50=2,H50,L50))</f>
        <v>Endspiel m.Sch. / S. 108</v>
      </c>
      <c r="I66" s="35" t="s">
        <v>49</v>
      </c>
      <c r="J66" s="33" t="s">
        <v>31</v>
      </c>
      <c r="K66" s="31"/>
      <c r="L66" s="34" t="str">
        <f>IF($T$54="","S. "&amp;D54,IF(T54=2,H54,L54))</f>
        <v>S. 112</v>
      </c>
      <c r="M66" s="33" t="s">
        <v>31</v>
      </c>
      <c r="N66" s="31"/>
      <c r="O66" s="34" t="str">
        <f>IF($T$62="","S. "&amp;D62,IF(T62=2,H62,L62))</f>
        <v>S. 120</v>
      </c>
      <c r="P66" s="36"/>
      <c r="Q66" s="31"/>
      <c r="R66" s="35" t="s">
        <v>50</v>
      </c>
      <c r="S66" s="37"/>
      <c r="T66" s="38">
        <f t="shared" si="0"/>
      </c>
      <c r="U66" s="35" t="s">
        <v>50</v>
      </c>
      <c r="V66" s="37">
        <f t="shared" si="1"/>
      </c>
      <c r="X66" s="20" t="s">
        <v>51</v>
      </c>
      <c r="Y66" s="20" t="s">
        <v>51</v>
      </c>
      <c r="AA66" s="7" t="s">
        <v>110</v>
      </c>
      <c r="AB66" s="4" t="s">
        <v>111</v>
      </c>
    </row>
    <row r="67" spans="2:25" ht="12.75" hidden="1" outlineLevel="1">
      <c r="B67" s="7">
        <f>+B63+1</f>
        <v>37</v>
      </c>
      <c r="C67" s="10">
        <v>0.5798611111111113</v>
      </c>
      <c r="D67" s="7">
        <f t="shared" si="2"/>
        <v>125</v>
      </c>
      <c r="E67" s="7">
        <v>1</v>
      </c>
      <c r="F67" s="11"/>
      <c r="G67" s="7"/>
      <c r="H67" s="12"/>
      <c r="I67" s="13" t="s">
        <v>49</v>
      </c>
      <c r="J67" s="11"/>
      <c r="K67" s="7"/>
      <c r="L67" s="12"/>
      <c r="M67" s="11"/>
      <c r="N67" s="7"/>
      <c r="O67" s="12"/>
      <c r="P67" s="14"/>
      <c r="Q67" s="7"/>
      <c r="R67" s="13" t="s">
        <v>50</v>
      </c>
      <c r="S67" s="16"/>
      <c r="T67" s="15">
        <f t="shared" si="0"/>
      </c>
      <c r="U67" s="13" t="s">
        <v>50</v>
      </c>
      <c r="V67" s="16">
        <f t="shared" si="1"/>
      </c>
      <c r="X67" s="13" t="s">
        <v>51</v>
      </c>
      <c r="Y67" s="13" t="s">
        <v>51</v>
      </c>
    </row>
    <row r="68" spans="2:25" ht="12.75" hidden="1" outlineLevel="1">
      <c r="B68" s="7"/>
      <c r="C68" s="7"/>
      <c r="D68" s="7">
        <f t="shared" si="2"/>
        <v>126</v>
      </c>
      <c r="E68" s="7">
        <v>2</v>
      </c>
      <c r="F68" s="11"/>
      <c r="G68" s="7"/>
      <c r="H68" s="12"/>
      <c r="I68" s="13" t="s">
        <v>49</v>
      </c>
      <c r="J68" s="11"/>
      <c r="K68" s="7"/>
      <c r="L68" s="12"/>
      <c r="M68" s="11"/>
      <c r="N68" s="7"/>
      <c r="O68" s="12"/>
      <c r="P68" s="14"/>
      <c r="Q68" s="7"/>
      <c r="R68" s="13" t="s">
        <v>50</v>
      </c>
      <c r="S68" s="16"/>
      <c r="T68" s="15">
        <f t="shared" si="0"/>
      </c>
      <c r="U68" s="13" t="s">
        <v>50</v>
      </c>
      <c r="V68" s="16">
        <f t="shared" si="1"/>
      </c>
      <c r="X68" s="13" t="s">
        <v>51</v>
      </c>
      <c r="Y68" s="13" t="s">
        <v>51</v>
      </c>
    </row>
    <row r="69" spans="2:25" ht="12.75" hidden="1" outlineLevel="1">
      <c r="B69" s="7"/>
      <c r="C69" s="7"/>
      <c r="D69" s="7">
        <f t="shared" si="2"/>
        <v>127</v>
      </c>
      <c r="E69" s="7">
        <v>3</v>
      </c>
      <c r="F69" s="11"/>
      <c r="G69" s="7"/>
      <c r="H69" s="12"/>
      <c r="I69" s="13" t="s">
        <v>49</v>
      </c>
      <c r="J69" s="11"/>
      <c r="K69" s="7"/>
      <c r="L69" s="12"/>
      <c r="M69" s="11"/>
      <c r="N69" s="7"/>
      <c r="O69" s="12"/>
      <c r="P69" s="14"/>
      <c r="Q69" s="7"/>
      <c r="R69" s="13" t="s">
        <v>50</v>
      </c>
      <c r="S69" s="16"/>
      <c r="T69" s="15">
        <f t="shared" si="0"/>
      </c>
      <c r="U69" s="13" t="s">
        <v>50</v>
      </c>
      <c r="V69" s="16">
        <f t="shared" si="1"/>
      </c>
      <c r="X69" s="13" t="s">
        <v>51</v>
      </c>
      <c r="Y69" s="13" t="s">
        <v>51</v>
      </c>
    </row>
    <row r="70" spans="2:25" ht="12.75" hidden="1" outlineLevel="1">
      <c r="B70" s="17"/>
      <c r="C70" s="17"/>
      <c r="D70" s="17">
        <f t="shared" si="2"/>
        <v>128</v>
      </c>
      <c r="E70" s="17">
        <v>4</v>
      </c>
      <c r="F70" s="18"/>
      <c r="G70" s="17"/>
      <c r="H70" s="19"/>
      <c r="I70" s="20" t="s">
        <v>49</v>
      </c>
      <c r="J70" s="18"/>
      <c r="K70" s="17"/>
      <c r="L70" s="19"/>
      <c r="M70" s="18"/>
      <c r="N70" s="17"/>
      <c r="O70" s="19"/>
      <c r="P70" s="21"/>
      <c r="Q70" s="17"/>
      <c r="R70" s="20" t="s">
        <v>50</v>
      </c>
      <c r="S70" s="23"/>
      <c r="T70" s="22">
        <f t="shared" si="0"/>
      </c>
      <c r="U70" s="20" t="s">
        <v>50</v>
      </c>
      <c r="V70" s="23">
        <f t="shared" si="1"/>
      </c>
      <c r="X70" s="20" t="s">
        <v>51</v>
      </c>
      <c r="Y70" s="20" t="s">
        <v>51</v>
      </c>
    </row>
    <row r="71" spans="2:25" ht="12.75" hidden="1" outlineLevel="1">
      <c r="B71" s="7">
        <f>+B67+1</f>
        <v>38</v>
      </c>
      <c r="C71" s="10">
        <v>0.5972222222222224</v>
      </c>
      <c r="D71" s="7">
        <f t="shared" si="2"/>
        <v>129</v>
      </c>
      <c r="E71" s="7">
        <v>1</v>
      </c>
      <c r="F71" s="11"/>
      <c r="G71" s="7"/>
      <c r="H71" s="12"/>
      <c r="I71" s="13" t="s">
        <v>49</v>
      </c>
      <c r="J71" s="11"/>
      <c r="K71" s="7"/>
      <c r="L71" s="12"/>
      <c r="M71" s="11"/>
      <c r="N71" s="7"/>
      <c r="O71" s="12"/>
      <c r="P71" s="14"/>
      <c r="Q71" s="7"/>
      <c r="R71" s="13" t="s">
        <v>50</v>
      </c>
      <c r="S71" s="16"/>
      <c r="T71" s="15">
        <f t="shared" si="0"/>
      </c>
      <c r="U71" s="13" t="s">
        <v>50</v>
      </c>
      <c r="V71" s="16">
        <f t="shared" si="1"/>
      </c>
      <c r="X71" s="13" t="s">
        <v>51</v>
      </c>
      <c r="Y71" s="13" t="s">
        <v>51</v>
      </c>
    </row>
    <row r="72" spans="2:25" ht="12.75" hidden="1" outlineLevel="1">
      <c r="B72" s="7"/>
      <c r="C72" s="7"/>
      <c r="D72" s="7">
        <f t="shared" si="2"/>
        <v>130</v>
      </c>
      <c r="E72" s="7">
        <v>2</v>
      </c>
      <c r="F72" s="11"/>
      <c r="G72" s="7"/>
      <c r="H72" s="12"/>
      <c r="I72" s="13" t="s">
        <v>49</v>
      </c>
      <c r="J72" s="11"/>
      <c r="K72" s="7"/>
      <c r="L72" s="12"/>
      <c r="M72" s="11"/>
      <c r="N72" s="7"/>
      <c r="O72" s="12"/>
      <c r="P72" s="14"/>
      <c r="Q72" s="7"/>
      <c r="R72" s="13" t="s">
        <v>50</v>
      </c>
      <c r="S72" s="16"/>
      <c r="T72" s="15">
        <f t="shared" si="0"/>
      </c>
      <c r="U72" s="13" t="s">
        <v>50</v>
      </c>
      <c r="V72" s="16">
        <f t="shared" si="1"/>
      </c>
      <c r="X72" s="13" t="s">
        <v>51</v>
      </c>
      <c r="Y72" s="13" t="s">
        <v>51</v>
      </c>
    </row>
    <row r="73" spans="2:25" ht="12.75" hidden="1" outlineLevel="1">
      <c r="B73" s="7"/>
      <c r="C73" s="7"/>
      <c r="D73" s="7">
        <f t="shared" si="2"/>
        <v>131</v>
      </c>
      <c r="E73" s="7">
        <v>3</v>
      </c>
      <c r="F73" s="11"/>
      <c r="G73" s="7"/>
      <c r="H73" s="12"/>
      <c r="I73" s="13" t="s">
        <v>49</v>
      </c>
      <c r="J73" s="11"/>
      <c r="K73" s="7"/>
      <c r="L73" s="12"/>
      <c r="M73" s="11"/>
      <c r="N73" s="7"/>
      <c r="O73" s="12"/>
      <c r="P73" s="14"/>
      <c r="Q73" s="7"/>
      <c r="R73" s="13" t="s">
        <v>50</v>
      </c>
      <c r="S73" s="16"/>
      <c r="T73" s="15">
        <f t="shared" si="0"/>
      </c>
      <c r="U73" s="13" t="s">
        <v>50</v>
      </c>
      <c r="V73" s="16">
        <f t="shared" si="1"/>
      </c>
      <c r="X73" s="13" t="s">
        <v>51</v>
      </c>
      <c r="Y73" s="13" t="s">
        <v>51</v>
      </c>
    </row>
    <row r="74" spans="2:25" ht="12.75" hidden="1" outlineLevel="1">
      <c r="B74" s="17"/>
      <c r="C74" s="17"/>
      <c r="D74" s="17">
        <f t="shared" si="2"/>
        <v>132</v>
      </c>
      <c r="E74" s="17">
        <v>4</v>
      </c>
      <c r="F74" s="18"/>
      <c r="G74" s="17"/>
      <c r="H74" s="19"/>
      <c r="I74" s="20" t="s">
        <v>49</v>
      </c>
      <c r="J74" s="18"/>
      <c r="K74" s="17"/>
      <c r="L74" s="19"/>
      <c r="M74" s="18"/>
      <c r="N74" s="17"/>
      <c r="O74" s="19"/>
      <c r="P74" s="21"/>
      <c r="Q74" s="17"/>
      <c r="R74" s="20" t="s">
        <v>50</v>
      </c>
      <c r="S74" s="23"/>
      <c r="T74" s="22">
        <f t="shared" si="0"/>
      </c>
      <c r="U74" s="20" t="s">
        <v>50</v>
      </c>
      <c r="V74" s="23">
        <f t="shared" si="1"/>
      </c>
      <c r="X74" s="20" t="s">
        <v>51</v>
      </c>
      <c r="Y74" s="20" t="s">
        <v>51</v>
      </c>
    </row>
    <row r="75" spans="2:25" ht="12.75" hidden="1" outlineLevel="1">
      <c r="B75" s="7">
        <f>+B71+1</f>
        <v>39</v>
      </c>
      <c r="C75" s="10">
        <v>0.6145833333333336</v>
      </c>
      <c r="D75" s="7">
        <f t="shared" si="2"/>
        <v>133</v>
      </c>
      <c r="E75" s="7">
        <v>1</v>
      </c>
      <c r="F75" s="11"/>
      <c r="G75" s="7"/>
      <c r="H75" s="12"/>
      <c r="I75" s="13" t="s">
        <v>49</v>
      </c>
      <c r="J75" s="11"/>
      <c r="K75" s="7"/>
      <c r="L75" s="12"/>
      <c r="M75" s="11"/>
      <c r="N75" s="7"/>
      <c r="O75" s="12"/>
      <c r="P75" s="14"/>
      <c r="Q75" s="7"/>
      <c r="R75" s="13" t="s">
        <v>50</v>
      </c>
      <c r="S75" s="16"/>
      <c r="T75" s="15">
        <f t="shared" si="0"/>
      </c>
      <c r="U75" s="13" t="s">
        <v>50</v>
      </c>
      <c r="V75" s="16">
        <f t="shared" si="1"/>
      </c>
      <c r="X75" s="13" t="s">
        <v>51</v>
      </c>
      <c r="Y75" s="13" t="s">
        <v>51</v>
      </c>
    </row>
    <row r="76" spans="2:25" ht="12.75" hidden="1" outlineLevel="1">
      <c r="B76" s="7"/>
      <c r="C76" s="7"/>
      <c r="D76" s="7">
        <f t="shared" si="2"/>
        <v>134</v>
      </c>
      <c r="E76" s="7">
        <v>2</v>
      </c>
      <c r="F76" s="11"/>
      <c r="G76" s="7"/>
      <c r="H76" s="12"/>
      <c r="I76" s="13" t="s">
        <v>49</v>
      </c>
      <c r="J76" s="11"/>
      <c r="K76" s="7"/>
      <c r="L76" s="12"/>
      <c r="M76" s="11"/>
      <c r="N76" s="7"/>
      <c r="O76" s="12"/>
      <c r="P76" s="14"/>
      <c r="Q76" s="7"/>
      <c r="R76" s="13" t="s">
        <v>50</v>
      </c>
      <c r="S76" s="16"/>
      <c r="T76" s="15">
        <f t="shared" si="0"/>
      </c>
      <c r="U76" s="13" t="s">
        <v>50</v>
      </c>
      <c r="V76" s="16">
        <f t="shared" si="1"/>
      </c>
      <c r="X76" s="13" t="s">
        <v>51</v>
      </c>
      <c r="Y76" s="13" t="s">
        <v>51</v>
      </c>
    </row>
    <row r="77" spans="2:25" ht="12.75" hidden="1" outlineLevel="1">
      <c r="B77" s="7"/>
      <c r="C77" s="7"/>
      <c r="D77" s="7">
        <f t="shared" si="2"/>
        <v>135</v>
      </c>
      <c r="E77" s="7">
        <v>3</v>
      </c>
      <c r="F77" s="11"/>
      <c r="G77" s="7"/>
      <c r="H77" s="12"/>
      <c r="I77" s="13" t="s">
        <v>49</v>
      </c>
      <c r="J77" s="11"/>
      <c r="K77" s="7"/>
      <c r="L77" s="12"/>
      <c r="M77" s="11"/>
      <c r="N77" s="7"/>
      <c r="O77" s="12"/>
      <c r="P77" s="14"/>
      <c r="Q77" s="7"/>
      <c r="R77" s="13" t="s">
        <v>50</v>
      </c>
      <c r="S77" s="16"/>
      <c r="T77" s="15">
        <f t="shared" si="0"/>
      </c>
      <c r="U77" s="13" t="s">
        <v>50</v>
      </c>
      <c r="V77" s="16">
        <f t="shared" si="1"/>
      </c>
      <c r="X77" s="13" t="s">
        <v>51</v>
      </c>
      <c r="Y77" s="13" t="s">
        <v>51</v>
      </c>
    </row>
    <row r="78" spans="2:25" ht="12.75" hidden="1" outlineLevel="1">
      <c r="B78" s="17"/>
      <c r="C78" s="17"/>
      <c r="D78" s="17">
        <f t="shared" si="2"/>
        <v>136</v>
      </c>
      <c r="E78" s="17">
        <v>4</v>
      </c>
      <c r="F78" s="18"/>
      <c r="G78" s="17"/>
      <c r="H78" s="19"/>
      <c r="I78" s="20" t="s">
        <v>49</v>
      </c>
      <c r="J78" s="18"/>
      <c r="K78" s="17"/>
      <c r="L78" s="19"/>
      <c r="M78" s="18"/>
      <c r="N78" s="17"/>
      <c r="O78" s="19"/>
      <c r="P78" s="21"/>
      <c r="Q78" s="17"/>
      <c r="R78" s="20" t="s">
        <v>50</v>
      </c>
      <c r="S78" s="23"/>
      <c r="T78" s="22">
        <f t="shared" si="0"/>
      </c>
      <c r="U78" s="20" t="s">
        <v>50</v>
      </c>
      <c r="V78" s="23">
        <f t="shared" si="1"/>
      </c>
      <c r="X78" s="20" t="s">
        <v>51</v>
      </c>
      <c r="Y78" s="20" t="s">
        <v>51</v>
      </c>
    </row>
    <row r="79" spans="16:19" ht="12.75" collapsed="1">
      <c r="P79" s="27"/>
      <c r="S79" s="40"/>
    </row>
    <row r="80" ht="12.75">
      <c r="S80" s="40"/>
    </row>
    <row r="81" ht="12.75">
      <c r="S81" s="40"/>
    </row>
    <row r="82" ht="12.75">
      <c r="S82" s="40"/>
    </row>
    <row r="83" ht="12.75">
      <c r="S83" s="40"/>
    </row>
    <row r="84" ht="12.75">
      <c r="S84" s="40"/>
    </row>
  </sheetData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Nowark</dc:creator>
  <cp:keywords/>
  <dc:description/>
  <cp:lastModifiedBy>A. Nowark</cp:lastModifiedBy>
  <dcterms:created xsi:type="dcterms:W3CDTF">2005-03-08T20:06:20Z</dcterms:created>
  <dcterms:modified xsi:type="dcterms:W3CDTF">2005-04-20T20:35:25Z</dcterms:modified>
  <cp:category/>
  <cp:version/>
  <cp:contentType/>
  <cp:contentStatus/>
</cp:coreProperties>
</file>